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ine Ablage\STATIKKLASSE\04 SOFTWARE\!!! BSP\BSP 1 Bemessungssoftware\"/>
    </mc:Choice>
  </mc:AlternateContent>
  <xr:revisionPtr revIDLastSave="0" documentId="13_ncr:1_{7B45D6BA-34C8-48E5-92BA-293BD2C6DE90}" xr6:coauthVersionLast="47" xr6:coauthVersionMax="47" xr10:uidLastSave="{00000000-0000-0000-0000-000000000000}"/>
  <bookViews>
    <workbookView xWindow="-120" yWindow="-120" windowWidth="29040" windowHeight="15840" xr2:uid="{BA5FF279-00F1-4151-BC00-847BC43A9FAB}"/>
  </bookViews>
  <sheets>
    <sheet name="PANORAMA" sheetId="2" r:id="rId1"/>
    <sheet name="Einfeldträger 01" sheetId="5" r:id="rId2"/>
    <sheet name="Lastaufstellung" sheetId="10" r:id="rId3"/>
    <sheet name="Schwerpunkt 01" sheetId="11" r:id="rId4"/>
    <sheet name="2FeldTräger" sheetId="1" r:id="rId5"/>
    <sheet name="INFOBOX" sheetId="21" r:id="rId6"/>
  </sheets>
  <externalReferences>
    <externalReference r:id="rId7"/>
  </externalReferences>
  <definedNames>
    <definedName name="_xlnm.Print_Area" localSheetId="4">'2FeldTräger'!$A$1:$W$110</definedName>
    <definedName name="_xlnm.Print_Area" localSheetId="1">'Einfeldträger 01'!$A$1:$W$146</definedName>
    <definedName name="_xlnm.Print_Area" localSheetId="2">Lastaufstellung!$A$1:$V$86</definedName>
    <definedName name="_xlnm.Print_Area" localSheetId="3">'Schwerpunkt 01'!$A$1:$V$57</definedName>
    <definedName name="_xlnm.Print_Titles" localSheetId="4">'2FeldTräger'!$1:$4</definedName>
    <definedName name="_xlnm.Print_Titles" localSheetId="1">'Einfeldträger 01'!$1:$4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10" l="1"/>
  <c r="O31" i="10"/>
  <c r="T31" i="10" s="1"/>
  <c r="C40" i="2" l="1"/>
  <c r="C39" i="2"/>
  <c r="C38" i="2"/>
  <c r="X5" i="1" l="1"/>
  <c r="Q4" i="1"/>
  <c r="Q3" i="1"/>
  <c r="Q2" i="1"/>
  <c r="Q4" i="11"/>
  <c r="Q3" i="11"/>
  <c r="Q2" i="11"/>
  <c r="Q4" i="10"/>
  <c r="Q3" i="10"/>
  <c r="Q2" i="10"/>
  <c r="Q4" i="5"/>
  <c r="Q3" i="5"/>
  <c r="Q2" i="5"/>
  <c r="G37" i="11"/>
  <c r="E37" i="11"/>
  <c r="I37" i="11" s="1"/>
  <c r="C37" i="11"/>
  <c r="E36" i="11"/>
  <c r="G35" i="11"/>
  <c r="E35" i="11"/>
  <c r="C35" i="11"/>
  <c r="H23" i="11"/>
  <c r="E34" i="11" s="1"/>
  <c r="F23" i="11"/>
  <c r="O19" i="11"/>
  <c r="I18" i="11"/>
  <c r="O13" i="11"/>
  <c r="G36" i="11" s="1"/>
  <c r="T50" i="10"/>
  <c r="T49" i="10"/>
  <c r="T48" i="10"/>
  <c r="E48" i="10"/>
  <c r="B48" i="10"/>
  <c r="T47" i="10"/>
  <c r="E47" i="10"/>
  <c r="B47" i="10"/>
  <c r="T46" i="10"/>
  <c r="E46" i="10"/>
  <c r="B46" i="10"/>
  <c r="T45" i="10"/>
  <c r="E45" i="10"/>
  <c r="B45" i="10"/>
  <c r="E44" i="10"/>
  <c r="B44" i="10"/>
  <c r="E43" i="10"/>
  <c r="B43" i="10"/>
  <c r="T34" i="10"/>
  <c r="T33" i="10"/>
  <c r="E32" i="10"/>
  <c r="B32" i="10"/>
  <c r="T32" i="10"/>
  <c r="E31" i="10"/>
  <c r="B31" i="10"/>
  <c r="T30" i="10"/>
  <c r="E30" i="10"/>
  <c r="B30" i="10"/>
  <c r="T29" i="10"/>
  <c r="T28" i="10"/>
  <c r="E28" i="10"/>
  <c r="B28" i="10"/>
  <c r="T27" i="10"/>
  <c r="E27" i="10"/>
  <c r="B27" i="10"/>
  <c r="T26" i="10"/>
  <c r="E26" i="10"/>
  <c r="B26" i="10"/>
  <c r="E25" i="10"/>
  <c r="B25" i="10"/>
  <c r="E24" i="10"/>
  <c r="B24" i="10"/>
  <c r="T17" i="10"/>
  <c r="T16" i="10"/>
  <c r="T15" i="10"/>
  <c r="E15" i="10"/>
  <c r="B15" i="10"/>
  <c r="T14" i="10"/>
  <c r="E14" i="10"/>
  <c r="B14" i="10"/>
  <c r="T13" i="10"/>
  <c r="E13" i="10"/>
  <c r="B13" i="10"/>
  <c r="T12" i="10"/>
  <c r="E12" i="10"/>
  <c r="B12" i="10"/>
  <c r="E11" i="10"/>
  <c r="B11" i="10"/>
  <c r="E10" i="10"/>
  <c r="B10" i="10"/>
  <c r="AD110" i="5"/>
  <c r="AD111" i="5" s="1"/>
  <c r="AA110" i="5"/>
  <c r="AA118" i="5" s="1"/>
  <c r="AA125" i="5" s="1"/>
  <c r="AH109" i="5"/>
  <c r="AA109" i="5"/>
  <c r="AB109" i="5" s="1"/>
  <c r="AG108" i="5"/>
  <c r="AG109" i="5" s="1"/>
  <c r="AD108" i="5"/>
  <c r="AD109" i="5" s="1"/>
  <c r="AA108" i="5"/>
  <c r="AB108" i="5" s="1"/>
  <c r="AA107" i="5"/>
  <c r="AB107" i="5" s="1"/>
  <c r="AG106" i="5"/>
  <c r="AG107" i="5" s="1"/>
  <c r="AD106" i="5"/>
  <c r="AD107" i="5" s="1"/>
  <c r="AA106" i="5"/>
  <c r="AB106" i="5" s="1"/>
  <c r="AG105" i="5"/>
  <c r="AD105" i="5"/>
  <c r="AA105" i="5"/>
  <c r="AB105" i="5" s="1"/>
  <c r="AG104" i="5"/>
  <c r="AD104" i="5"/>
  <c r="AA104" i="5"/>
  <c r="AB104" i="5" s="1"/>
  <c r="AG103" i="5"/>
  <c r="AE103" i="5"/>
  <c r="AD103" i="5"/>
  <c r="AA103" i="5"/>
  <c r="AB103" i="5" s="1"/>
  <c r="E97" i="5"/>
  <c r="E94" i="5"/>
  <c r="E92" i="5"/>
  <c r="E80" i="5"/>
  <c r="E77" i="5"/>
  <c r="E75" i="5"/>
  <c r="G67" i="5"/>
  <c r="E63" i="5"/>
  <c r="G62" i="5"/>
  <c r="AE104" i="5" s="1"/>
  <c r="E61" i="5"/>
  <c r="E44" i="5"/>
  <c r="E41" i="5"/>
  <c r="E38" i="5"/>
  <c r="K32" i="5"/>
  <c r="G95" i="5" s="1"/>
  <c r="AE109" i="5" s="1"/>
  <c r="G32" i="5"/>
  <c r="K31" i="5"/>
  <c r="G98" i="5" s="1"/>
  <c r="G31" i="5"/>
  <c r="K30" i="5"/>
  <c r="G42" i="5" s="1"/>
  <c r="G81" i="5" s="1"/>
  <c r="G30" i="5"/>
  <c r="K29" i="5"/>
  <c r="G36" i="5" s="1"/>
  <c r="G29" i="5"/>
  <c r="C4" i="2"/>
  <c r="T36" i="10" l="1"/>
  <c r="T38" i="10" s="1"/>
  <c r="G39" i="5"/>
  <c r="G93" i="5" s="1"/>
  <c r="AE108" i="5" s="1"/>
  <c r="C36" i="11"/>
  <c r="G78" i="5"/>
  <c r="AE107" i="5" s="1"/>
  <c r="AB125" i="5"/>
  <c r="G88" i="5"/>
  <c r="G34" i="11"/>
  <c r="G64" i="5"/>
  <c r="AE105" i="5" s="1"/>
  <c r="G76" i="5"/>
  <c r="AE106" i="5" s="1"/>
  <c r="AE110" i="5"/>
  <c r="AA112" i="5"/>
  <c r="AB112" i="5" s="1"/>
  <c r="AA114" i="5"/>
  <c r="AB114" i="5" s="1"/>
  <c r="AA116" i="5"/>
  <c r="AB116" i="5" s="1"/>
  <c r="AB118" i="5"/>
  <c r="AA121" i="5"/>
  <c r="AB121" i="5" s="1"/>
  <c r="G86" i="5"/>
  <c r="AH107" i="5" s="1"/>
  <c r="AH108" i="5" s="1"/>
  <c r="AA126" i="5"/>
  <c r="AA124" i="5"/>
  <c r="AB124" i="5" s="1"/>
  <c r="AA122" i="5"/>
  <c r="AB122" i="5" s="1"/>
  <c r="AA120" i="5"/>
  <c r="AB120" i="5" s="1"/>
  <c r="AA111" i="5"/>
  <c r="AB111" i="5" s="1"/>
  <c r="AA119" i="5"/>
  <c r="AB119" i="5" s="1"/>
  <c r="G73" i="5"/>
  <c r="AB110" i="5"/>
  <c r="AA113" i="5"/>
  <c r="AB113" i="5" s="1"/>
  <c r="AA115" i="5"/>
  <c r="AB115" i="5" s="1"/>
  <c r="AA117" i="5"/>
  <c r="AB117" i="5" s="1"/>
  <c r="AA123" i="5"/>
  <c r="AB123" i="5" s="1"/>
  <c r="I35" i="11"/>
  <c r="L35" i="11"/>
  <c r="C34" i="11"/>
  <c r="T19" i="10"/>
  <c r="T21" i="10" s="1"/>
  <c r="T52" i="10"/>
  <c r="T54" i="10" s="1"/>
  <c r="L37" i="11"/>
  <c r="AD63" i="1"/>
  <c r="AD64" i="1" s="1"/>
  <c r="AC61" i="1"/>
  <c r="AC60" i="1"/>
  <c r="AC59" i="1"/>
  <c r="AC58" i="1"/>
  <c r="AC57" i="1"/>
  <c r="AC56" i="1"/>
  <c r="AC55" i="1"/>
  <c r="AC54" i="1"/>
  <c r="AC53" i="1"/>
  <c r="AC52" i="1"/>
  <c r="AC30" i="1"/>
  <c r="AD28" i="1"/>
  <c r="AD27" i="1"/>
  <c r="AE27" i="1" s="1"/>
  <c r="AD26" i="1"/>
  <c r="AE26" i="1" s="1"/>
  <c r="AD25" i="1"/>
  <c r="AE25" i="1" s="1"/>
  <c r="AD24" i="1"/>
  <c r="AE24" i="1" s="1"/>
  <c r="AD23" i="1"/>
  <c r="AE23" i="1" s="1"/>
  <c r="AD22" i="1"/>
  <c r="AE22" i="1" s="1"/>
  <c r="AD21" i="1"/>
  <c r="AE21" i="1" s="1"/>
  <c r="AD20" i="1"/>
  <c r="AE20" i="1" s="1"/>
  <c r="AD19" i="1"/>
  <c r="AE19" i="1" s="1"/>
  <c r="AB19" i="1"/>
  <c r="AB20" i="1" s="1"/>
  <c r="AE18" i="1"/>
  <c r="AC18" i="1"/>
  <c r="V10" i="1"/>
  <c r="Q10" i="1"/>
  <c r="G9" i="1"/>
  <c r="E9" i="1"/>
  <c r="AC44" i="1" s="1"/>
  <c r="E8" i="1"/>
  <c r="AC35" i="1" s="1"/>
  <c r="AC33" i="1" l="1"/>
  <c r="AC41" i="1"/>
  <c r="AC43" i="1"/>
  <c r="AB21" i="1"/>
  <c r="AB22" i="1" s="1"/>
  <c r="AC48" i="1"/>
  <c r="AC50" i="1"/>
  <c r="AB23" i="1"/>
  <c r="AB24" i="1" s="1"/>
  <c r="AB25" i="1" s="1"/>
  <c r="AD71" i="1"/>
  <c r="AD72" i="1" s="1"/>
  <c r="R10" i="1"/>
  <c r="AC37" i="1"/>
  <c r="AD37" i="1" s="1"/>
  <c r="AC49" i="1"/>
  <c r="L36" i="11"/>
  <c r="I36" i="11"/>
  <c r="AH106" i="5"/>
  <c r="AH105" i="5"/>
  <c r="AB126" i="5"/>
  <c r="AA128" i="5"/>
  <c r="AB128" i="5" s="1"/>
  <c r="AA127" i="5"/>
  <c r="AB127" i="5" s="1"/>
  <c r="C39" i="11"/>
  <c r="L34" i="11"/>
  <c r="L39" i="11" s="1"/>
  <c r="I34" i="11"/>
  <c r="I39" i="11" s="1"/>
  <c r="D22" i="1"/>
  <c r="D29" i="1"/>
  <c r="W32" i="1"/>
  <c r="G43" i="1"/>
  <c r="W13" i="1"/>
  <c r="L17" i="1"/>
  <c r="L22" i="1"/>
  <c r="L28" i="1"/>
  <c r="L29" i="1"/>
  <c r="L30" i="1"/>
  <c r="AC31" i="1"/>
  <c r="AC32" i="1"/>
  <c r="AD32" i="1" s="1"/>
  <c r="AD33" i="1"/>
  <c r="AD35" i="1"/>
  <c r="AC36" i="1"/>
  <c r="AC38" i="1"/>
  <c r="AD38" i="1" s="1"/>
  <c r="AC39" i="1"/>
  <c r="AD39" i="1" s="1"/>
  <c r="AC42" i="1"/>
  <c r="G44" i="1"/>
  <c r="W46" i="1"/>
  <c r="AC47" i="1"/>
  <c r="S54" i="1"/>
  <c r="D59" i="1"/>
  <c r="N62" i="1"/>
  <c r="D17" i="1"/>
  <c r="D30" i="1"/>
  <c r="W39" i="1"/>
  <c r="D54" i="1"/>
  <c r="D62" i="1"/>
  <c r="W70" i="1"/>
  <c r="D16" i="1"/>
  <c r="D18" i="1"/>
  <c r="D21" i="1"/>
  <c r="D23" i="1"/>
  <c r="AD29" i="1"/>
  <c r="AD31" i="1"/>
  <c r="D35" i="1"/>
  <c r="AD36" i="1"/>
  <c r="G41" i="1"/>
  <c r="AC45" i="1"/>
  <c r="AC46" i="1"/>
  <c r="S59" i="1"/>
  <c r="AC24" i="1" s="1"/>
  <c r="AD67" i="1"/>
  <c r="AD68" i="1" s="1"/>
  <c r="W25" i="1"/>
  <c r="D28" i="1"/>
  <c r="T10" i="1"/>
  <c r="L16" i="1"/>
  <c r="L18" i="1"/>
  <c r="L21" i="1"/>
  <c r="L23" i="1"/>
  <c r="AE28" i="1"/>
  <c r="AD30" i="1"/>
  <c r="AC34" i="1"/>
  <c r="AD34" i="1" s="1"/>
  <c r="L35" i="1"/>
  <c r="I41" i="1"/>
  <c r="G42" i="1"/>
  <c r="D37" i="1" l="1"/>
  <c r="D36" i="1"/>
  <c r="F46" i="11"/>
  <c r="F43" i="11"/>
  <c r="S42" i="11"/>
  <c r="F42" i="11"/>
  <c r="S45" i="11"/>
  <c r="F45" i="11"/>
  <c r="AD46" i="1"/>
  <c r="AD45" i="1"/>
  <c r="AD43" i="1"/>
  <c r="AD44" i="1"/>
  <c r="AD47" i="1"/>
  <c r="AD42" i="1"/>
  <c r="AD50" i="1"/>
  <c r="AD49" i="1"/>
  <c r="AD48" i="1"/>
  <c r="AD41" i="1"/>
  <c r="AD40" i="1"/>
  <c r="D49" i="1"/>
  <c r="AE64" i="1"/>
  <c r="L36" i="1"/>
  <c r="AC19" i="1"/>
  <c r="L37" i="1"/>
  <c r="AE61" i="1"/>
  <c r="AE57" i="1"/>
  <c r="AE53" i="1"/>
  <c r="AE60" i="1"/>
  <c r="AE52" i="1"/>
  <c r="AE56" i="1"/>
  <c r="AE54" i="1"/>
  <c r="AE59" i="1"/>
  <c r="AE55" i="1"/>
  <c r="AE51" i="1"/>
  <c r="AE58" i="1"/>
  <c r="D51" i="1"/>
  <c r="AE72" i="1"/>
  <c r="I43" i="1" l="1"/>
  <c r="AD60" i="1"/>
  <c r="AD58" i="1"/>
  <c r="AD54" i="1"/>
  <c r="AD52" i="1"/>
  <c r="AD55" i="1"/>
  <c r="AD61" i="1"/>
  <c r="AD57" i="1"/>
  <c r="AD53" i="1"/>
  <c r="AD59" i="1"/>
  <c r="AD56" i="1"/>
  <c r="AD51" i="1"/>
  <c r="I44" i="1"/>
  <c r="I42" i="1"/>
  <c r="D50" i="1" l="1"/>
  <c r="AE68" i="1"/>
  <c r="D55" i="1" l="1"/>
  <c r="S55" i="1"/>
  <c r="S56" i="1"/>
  <c r="AC21" i="1" s="1"/>
  <c r="D56" i="1"/>
  <c r="D58" i="1"/>
  <c r="S58" i="1"/>
  <c r="AC23" i="1" s="1"/>
  <c r="S57" i="1"/>
  <c r="D57" i="1"/>
  <c r="D68" i="1" l="1"/>
  <c r="D64" i="1"/>
  <c r="AE66" i="1" s="1"/>
  <c r="N68" i="1"/>
  <c r="N64" i="1"/>
  <c r="AE70" i="1" s="1"/>
  <c r="AD65" i="1"/>
  <c r="AD66" i="1" s="1"/>
  <c r="AC20" i="1"/>
  <c r="AC22" i="1"/>
  <c r="AD69" i="1"/>
  <c r="AD70" i="1" s="1"/>
  <c r="N67" i="1"/>
  <c r="N63" i="1"/>
  <c r="D67" i="1"/>
  <c r="D63" i="1"/>
  <c r="AE39" i="1"/>
  <c r="AE31" i="1"/>
  <c r="AE50" i="1"/>
  <c r="AE35" i="1"/>
  <c r="AE44" i="1"/>
  <c r="AE37" i="1"/>
  <c r="AE49" i="1"/>
  <c r="AE47" i="1"/>
  <c r="AE36" i="1"/>
  <c r="AE48" i="1"/>
  <c r="AE46" i="1"/>
  <c r="AE34" i="1"/>
  <c r="AE42" i="1"/>
  <c r="AE32" i="1"/>
  <c r="AE30" i="1"/>
  <c r="AE41" i="1"/>
  <c r="AE43" i="1"/>
  <c r="AE45" i="1"/>
  <c r="AE38" i="1"/>
  <c r="AE29" i="1"/>
  <c r="AE33" i="1"/>
  <c r="AE40" i="1"/>
  <c r="R75" i="1" l="1"/>
  <c r="R78" i="1"/>
</calcChain>
</file>

<file path=xl/sharedStrings.xml><?xml version="1.0" encoding="utf-8"?>
<sst xmlns="http://schemas.openxmlformats.org/spreadsheetml/2006/main" count="407" uniqueCount="220">
  <si>
    <t>CODE</t>
  </si>
  <si>
    <t>L [m]</t>
  </si>
  <si>
    <t>gd [kN/m]</t>
  </si>
  <si>
    <t>qd [kN/m]</t>
  </si>
  <si>
    <t>nicht maßstäblich</t>
  </si>
  <si>
    <t>Kragarm links</t>
  </si>
  <si>
    <t>qd</t>
  </si>
  <si>
    <t>Feld 1</t>
  </si>
  <si>
    <t>gd</t>
  </si>
  <si>
    <t>Feld 2</t>
  </si>
  <si>
    <t>a</t>
  </si>
  <si>
    <t>b</t>
  </si>
  <si>
    <t>c</t>
  </si>
  <si>
    <t>Kragarm rechts</t>
  </si>
  <si>
    <t>links</t>
  </si>
  <si>
    <t>rechts</t>
  </si>
  <si>
    <t>BEMESSUNGSLASTEN</t>
  </si>
  <si>
    <t>p_kragli =</t>
  </si>
  <si>
    <t>p_kragre =</t>
  </si>
  <si>
    <t xml:space="preserve"> =</t>
  </si>
  <si>
    <t>x</t>
  </si>
  <si>
    <t>Vd</t>
  </si>
  <si>
    <t>Md</t>
  </si>
  <si>
    <t>kN/m</t>
  </si>
  <si>
    <t>Feld 1: (p1 = gd1+qd1)</t>
  </si>
  <si>
    <t>Feld 2: (p2 = gd1+qd2)</t>
  </si>
  <si>
    <t>p1 =</t>
  </si>
  <si>
    <t>p2 =</t>
  </si>
  <si>
    <t>KRAGMOMENTE</t>
  </si>
  <si>
    <t>Kragmoment links</t>
  </si>
  <si>
    <t>Kragmoment rechts</t>
  </si>
  <si>
    <t>M_a =</t>
  </si>
  <si>
    <t>M_c =</t>
  </si>
  <si>
    <t>kNm</t>
  </si>
  <si>
    <t>BELASTUNGSGLIEDER</t>
  </si>
  <si>
    <t>R_1 =</t>
  </si>
  <si>
    <t>L_2 =</t>
  </si>
  <si>
    <t>DREIMOMENTEN-GLEICHUNG</t>
  </si>
  <si>
    <t>=</t>
  </si>
  <si>
    <t>ENDGÜLTIGE STÜTZMOMENTE UND AUFLAGERKRÄFTE</t>
  </si>
  <si>
    <t>min Stützmomente</t>
  </si>
  <si>
    <t>M_b =</t>
  </si>
  <si>
    <t>Auflagerkräfte</t>
  </si>
  <si>
    <t>V_ali =</t>
  </si>
  <si>
    <t>kN</t>
  </si>
  <si>
    <t>V_are =</t>
  </si>
  <si>
    <t>V_bli =</t>
  </si>
  <si>
    <t>V_bre =</t>
  </si>
  <si>
    <t>V_cli =</t>
  </si>
  <si>
    <t>V_cre =</t>
  </si>
  <si>
    <t>SEITE 2/2</t>
  </si>
  <si>
    <t>max Feldmomente</t>
  </si>
  <si>
    <t>M_f1 =</t>
  </si>
  <si>
    <t>M_f2 =</t>
  </si>
  <si>
    <t xml:space="preserve">x1 = </t>
  </si>
  <si>
    <t>V_are / p1</t>
  </si>
  <si>
    <t xml:space="preserve">x2 = </t>
  </si>
  <si>
    <t>V_bre / p2</t>
  </si>
  <si>
    <t>m</t>
  </si>
  <si>
    <t>max Querkraft Vd</t>
  </si>
  <si>
    <t>Vd =</t>
  </si>
  <si>
    <t>max/min Biegemoment Md</t>
  </si>
  <si>
    <t>Md =</t>
  </si>
  <si>
    <t>SIE KANN IHNEN DAS DENKEN NICHT ABNEHMEN, VIELMEHR KANN SIE EINE KLEINE HILFESTELLUNG LEISTEN.</t>
  </si>
  <si>
    <t>GEHEN SIE DESHALB BEI DER EINGABE UND DANACH BEI DER ÜBERPRÜFUNG SORGSAM MIT DEN ERGEBNISSEN UM.</t>
  </si>
  <si>
    <t>ÜBERPRÜFEN SIE DIE ERGEBNISSE STETS AUF PLAUSIBILITÄT.</t>
  </si>
  <si>
    <t>TROTZ MEHRFACHER TESTS KÖNNEN FEHLER NICHT VOLLKOMMEN AUSGESCHLOSSEN WERDEN. DAHER WIRD KEINE</t>
  </si>
  <si>
    <t>HAFTUNG JEGLICHER ART AKZEPTIERT.</t>
  </si>
  <si>
    <t>www.STATIKKLASSE.at</t>
  </si>
  <si>
    <t>BSP1 Bemessungssoftware</t>
  </si>
  <si>
    <t>Version</t>
  </si>
  <si>
    <t>WÄHLEN SIE EIN THEMA AUS</t>
  </si>
  <si>
    <t>E I N W I R K U N G E N  &amp;  S C H N I T T G R Ö S S E N</t>
  </si>
  <si>
    <t>T R Ä G E R  &amp;  S P A N N U N G E N</t>
  </si>
  <si>
    <t>ZENTRALES KRAFTSYSTEM</t>
  </si>
  <si>
    <t>TRÄGHEITSMOMENT 01</t>
  </si>
  <si>
    <t>KIPPSICHERHEIT</t>
  </si>
  <si>
    <t>TRÄGHEITSMOMENT 02</t>
  </si>
  <si>
    <t>EINFELDTRÄGER 01</t>
  </si>
  <si>
    <t>TRÄGERSPANNUNG 01</t>
  </si>
  <si>
    <t>EINFELDTRÄGER 02</t>
  </si>
  <si>
    <t>TRÄGERSPANNUNG 02</t>
  </si>
  <si>
    <t>GENEIGTER EINFELDTRÄGER</t>
  </si>
  <si>
    <t>TRÄGERSPANNUNG 03</t>
  </si>
  <si>
    <t>KRAGTRÄGER</t>
  </si>
  <si>
    <t>GERBERTRÄGER</t>
  </si>
  <si>
    <t>GEKNICKTER EINFELDTRÄGER</t>
  </si>
  <si>
    <t>FACHWERK</t>
  </si>
  <si>
    <t>LASTAUFSTELLUNG</t>
  </si>
  <si>
    <t>MOHR'SCHE ANALOGIE</t>
  </si>
  <si>
    <t>SCHWERPUNKT 01</t>
  </si>
  <si>
    <t>DREIGELENKRAHMEN</t>
  </si>
  <si>
    <t>www.statikklasse.at</t>
  </si>
  <si>
    <t>LIZENZIERT FÜR</t>
  </si>
  <si>
    <t>BSP 1</t>
  </si>
  <si>
    <t>Bemessungssoftware</t>
  </si>
  <si>
    <t>THEMA</t>
  </si>
  <si>
    <t>+y</t>
  </si>
  <si>
    <t>ges:</t>
  </si>
  <si>
    <t>i</t>
  </si>
  <si>
    <t>°</t>
  </si>
  <si>
    <r>
      <t xml:space="preserve">DIE </t>
    </r>
    <r>
      <rPr>
        <b/>
        <sz val="9"/>
        <color indexed="8"/>
        <rFont val="Arial Narrow"/>
        <family val="2"/>
      </rPr>
      <t>BSP BEMESSUNGSSOFTWARE</t>
    </r>
    <r>
      <rPr>
        <sz val="9"/>
        <color indexed="8"/>
        <rFont val="Arial Narrow"/>
        <family val="2"/>
      </rPr>
      <t xml:space="preserve"> DIENT DER STICHPROBENARTIGEN ÜBERPRÜFUNG IHRER RECHENERGEBNISSE.</t>
    </r>
  </si>
  <si>
    <r>
      <t xml:space="preserve">WEITERE INFOS ZU </t>
    </r>
    <r>
      <rPr>
        <b/>
        <sz val="9"/>
        <color indexed="8"/>
        <rFont val="Arial Narrow"/>
        <family val="2"/>
      </rPr>
      <t>BSP BEMESSUNGSSOFTWARE</t>
    </r>
    <r>
      <rPr>
        <sz val="9"/>
        <color indexed="8"/>
        <rFont val="Arial Narrow"/>
        <family val="2"/>
      </rPr>
      <t xml:space="preserve"> FINDEN SIE AUF</t>
    </r>
  </si>
  <si>
    <t>kN/m³</t>
  </si>
  <si>
    <t>d</t>
  </si>
  <si>
    <t>Skizze n.maßstäblich</t>
  </si>
  <si>
    <t>Einfeldträger 01</t>
  </si>
  <si>
    <r>
      <t>F</t>
    </r>
    <r>
      <rPr>
        <vertAlign val="subscript"/>
        <sz val="10"/>
        <rFont val="Arial"/>
        <family val="2"/>
      </rPr>
      <t>1</t>
    </r>
  </si>
  <si>
    <r>
      <t>F</t>
    </r>
    <r>
      <rPr>
        <vertAlign val="subscript"/>
        <sz val="10"/>
        <rFont val="Arial"/>
        <family val="2"/>
      </rPr>
      <t>2</t>
    </r>
  </si>
  <si>
    <t xml:space="preserve"> </t>
  </si>
  <si>
    <r>
      <t>D</t>
    </r>
    <r>
      <rPr>
        <vertAlign val="subscript"/>
        <sz val="9"/>
        <color indexed="60"/>
        <rFont val="Arial"/>
        <family val="2"/>
      </rPr>
      <t>H</t>
    </r>
  </si>
  <si>
    <t>e</t>
  </si>
  <si>
    <r>
      <t>B</t>
    </r>
    <r>
      <rPr>
        <vertAlign val="subscript"/>
        <sz val="9"/>
        <color indexed="60"/>
        <rFont val="Arial"/>
        <family val="2"/>
      </rPr>
      <t>V</t>
    </r>
  </si>
  <si>
    <r>
      <t>D</t>
    </r>
    <r>
      <rPr>
        <vertAlign val="subscript"/>
        <sz val="9"/>
        <color indexed="60"/>
        <rFont val="Arial"/>
        <family val="2"/>
      </rPr>
      <t>V</t>
    </r>
  </si>
  <si>
    <t>Schnittkraftverläufe N, Q, M</t>
  </si>
  <si>
    <t>• Komponenten</t>
  </si>
  <si>
    <r>
      <t>F</t>
    </r>
    <r>
      <rPr>
        <vertAlign val="subscript"/>
        <sz val="11"/>
        <rFont val="Arial"/>
        <family val="2"/>
      </rPr>
      <t>1,H</t>
    </r>
    <r>
      <rPr>
        <sz val="11"/>
        <rFont val="Arial"/>
        <family val="2"/>
      </rPr>
      <t xml:space="preserve"> = F</t>
    </r>
    <r>
      <rPr>
        <vertAlign val="subscript"/>
        <sz val="11"/>
        <rFont val="Arial"/>
        <family val="2"/>
      </rPr>
      <t>1</t>
    </r>
    <r>
      <rPr>
        <sz val="11"/>
        <rFont val="Arial"/>
        <family val="2"/>
      </rPr>
      <t xml:space="preserve"> * cos </t>
    </r>
    <r>
      <rPr>
        <sz val="11"/>
        <rFont val="Symbol"/>
        <family val="1"/>
        <charset val="2"/>
      </rPr>
      <t>a</t>
    </r>
    <r>
      <rPr>
        <sz val="11"/>
        <rFont val="Arial"/>
        <family val="2"/>
      </rPr>
      <t xml:space="preserve"> = </t>
    </r>
  </si>
  <si>
    <r>
      <t>F</t>
    </r>
    <r>
      <rPr>
        <vertAlign val="subscript"/>
        <sz val="11"/>
        <rFont val="Arial"/>
        <family val="2"/>
      </rPr>
      <t>1,V</t>
    </r>
    <r>
      <rPr>
        <sz val="11"/>
        <rFont val="Arial"/>
        <family val="2"/>
      </rPr>
      <t xml:space="preserve"> = F</t>
    </r>
    <r>
      <rPr>
        <vertAlign val="subscript"/>
        <sz val="11"/>
        <rFont val="Arial"/>
        <family val="2"/>
      </rPr>
      <t>1</t>
    </r>
    <r>
      <rPr>
        <sz val="11"/>
        <rFont val="Arial"/>
        <family val="2"/>
      </rPr>
      <t xml:space="preserve"> * sin </t>
    </r>
    <r>
      <rPr>
        <sz val="11"/>
        <rFont val="Symbol"/>
        <family val="1"/>
        <charset val="2"/>
      </rPr>
      <t>a</t>
    </r>
    <r>
      <rPr>
        <sz val="11"/>
        <rFont val="Arial"/>
        <family val="2"/>
      </rPr>
      <t xml:space="preserve"> = </t>
    </r>
  </si>
  <si>
    <r>
      <t>F</t>
    </r>
    <r>
      <rPr>
        <vertAlign val="subscript"/>
        <sz val="11"/>
        <rFont val="Arial"/>
        <family val="2"/>
      </rPr>
      <t>2,H</t>
    </r>
    <r>
      <rPr>
        <sz val="11"/>
        <rFont val="Arial"/>
        <family val="2"/>
      </rPr>
      <t xml:space="preserve"> = F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* cos </t>
    </r>
    <r>
      <rPr>
        <sz val="11"/>
        <rFont val="Symbol"/>
        <family val="1"/>
        <charset val="2"/>
      </rPr>
      <t>a</t>
    </r>
    <r>
      <rPr>
        <sz val="11"/>
        <rFont val="Arial"/>
        <family val="2"/>
      </rPr>
      <t xml:space="preserve"> = </t>
    </r>
  </si>
  <si>
    <r>
      <t>F</t>
    </r>
    <r>
      <rPr>
        <vertAlign val="subscript"/>
        <sz val="11"/>
        <rFont val="Arial"/>
        <family val="2"/>
      </rPr>
      <t>2,V</t>
    </r>
    <r>
      <rPr>
        <sz val="11"/>
        <rFont val="Arial"/>
        <family val="2"/>
      </rPr>
      <t xml:space="preserve"> = F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* sin </t>
    </r>
    <r>
      <rPr>
        <sz val="11"/>
        <rFont val="Symbol"/>
        <family val="1"/>
        <charset val="2"/>
      </rPr>
      <t>a</t>
    </r>
    <r>
      <rPr>
        <sz val="11"/>
        <rFont val="Arial"/>
        <family val="2"/>
      </rPr>
      <t xml:space="preserve"> = </t>
    </r>
  </si>
  <si>
    <t>• Auflagerreaktionen</t>
  </si>
  <si>
    <r>
      <t>S</t>
    </r>
    <r>
      <rPr>
        <sz val="11"/>
        <rFont val="Arial"/>
        <family val="2"/>
      </rPr>
      <t xml:space="preserve">H = 0: </t>
    </r>
  </si>
  <si>
    <r>
      <t>D_h</t>
    </r>
    <r>
      <rPr>
        <sz val="11"/>
        <rFont val="Arial"/>
        <family val="2"/>
      </rPr>
      <t xml:space="preserve"> + F1_h - F2_h</t>
    </r>
    <r>
      <rPr>
        <sz val="11"/>
        <rFont val="Arial"/>
        <family val="2"/>
      </rPr>
      <t xml:space="preserve"> = 0</t>
    </r>
  </si>
  <si>
    <t>D_h</t>
  </si>
  <si>
    <r>
      <t>S</t>
    </r>
    <r>
      <rPr>
        <sz val="11"/>
        <rFont val="Arial"/>
        <family val="2"/>
      </rPr>
      <t>M</t>
    </r>
    <r>
      <rPr>
        <vertAlign val="subscript"/>
        <sz val="11"/>
        <rFont val="Arial"/>
        <family val="2"/>
      </rPr>
      <t>b</t>
    </r>
    <r>
      <rPr>
        <sz val="11"/>
        <rFont val="Arial"/>
        <family val="2"/>
      </rPr>
      <t xml:space="preserve"> = 0: </t>
    </r>
  </si>
  <si>
    <r>
      <t>D_v</t>
    </r>
    <r>
      <rPr>
        <vertAlign val="subscript"/>
        <sz val="11"/>
        <rFont val="Arial"/>
        <family val="2"/>
      </rPr>
      <t xml:space="preserve"> </t>
    </r>
  </si>
  <si>
    <r>
      <t>S</t>
    </r>
    <r>
      <rPr>
        <sz val="11"/>
        <rFont val="Arial"/>
        <family val="2"/>
      </rPr>
      <t>M</t>
    </r>
    <r>
      <rPr>
        <vertAlign val="subscript"/>
        <sz val="11"/>
        <rFont val="Arial"/>
        <family val="2"/>
      </rPr>
      <t>d</t>
    </r>
    <r>
      <rPr>
        <sz val="11"/>
        <rFont val="Arial"/>
        <family val="2"/>
      </rPr>
      <t xml:space="preserve"> = 0: </t>
    </r>
  </si>
  <si>
    <t>B_v</t>
  </si>
  <si>
    <r>
      <t>S</t>
    </r>
    <r>
      <rPr>
        <sz val="11"/>
        <rFont val="Arial"/>
        <family val="2"/>
      </rPr>
      <t xml:space="preserve">V = 0: </t>
    </r>
  </si>
  <si>
    <t>Probe richtig!</t>
  </si>
  <si>
    <t>• Schnittkräfte</t>
  </si>
  <si>
    <t>Knoten b</t>
  </si>
  <si>
    <r>
      <t>N</t>
    </r>
    <r>
      <rPr>
        <sz val="11"/>
        <rFont val="Arial"/>
        <family val="2"/>
      </rPr>
      <t xml:space="preserve"> =</t>
    </r>
  </si>
  <si>
    <r>
      <t>S</t>
    </r>
    <r>
      <rPr>
        <sz val="11"/>
        <rFont val="Arial"/>
        <family val="2"/>
      </rPr>
      <t>V</t>
    </r>
    <r>
      <rPr>
        <vertAlign val="subscript"/>
        <sz val="11"/>
        <rFont val="Arial"/>
        <family val="2"/>
      </rPr>
      <t>Li</t>
    </r>
    <r>
      <rPr>
        <sz val="11"/>
        <rFont val="Arial"/>
        <family val="2"/>
      </rPr>
      <t xml:space="preserve"> = 0: </t>
    </r>
  </si>
  <si>
    <r>
      <t>V</t>
    </r>
    <r>
      <rPr>
        <vertAlign val="subscript"/>
        <sz val="11"/>
        <rFont val="Arial"/>
        <family val="2"/>
      </rPr>
      <t>Li</t>
    </r>
    <r>
      <rPr>
        <sz val="11"/>
        <rFont val="Arial"/>
        <family val="2"/>
      </rPr>
      <t xml:space="preserve"> </t>
    </r>
    <r>
      <rPr>
        <sz val="11"/>
        <rFont val="Arial"/>
        <family val="2"/>
      </rPr>
      <t>=</t>
    </r>
  </si>
  <si>
    <r>
      <t>S</t>
    </r>
    <r>
      <rPr>
        <sz val="11"/>
        <rFont val="Arial"/>
        <family val="2"/>
      </rPr>
      <t>V</t>
    </r>
    <r>
      <rPr>
        <vertAlign val="subscript"/>
        <sz val="11"/>
        <rFont val="Arial"/>
        <family val="2"/>
      </rPr>
      <t>Re</t>
    </r>
    <r>
      <rPr>
        <sz val="11"/>
        <rFont val="Arial"/>
        <family val="2"/>
      </rPr>
      <t xml:space="preserve"> = 0: </t>
    </r>
  </si>
  <si>
    <r>
      <t>V</t>
    </r>
    <r>
      <rPr>
        <vertAlign val="subscript"/>
        <sz val="11"/>
        <rFont val="Arial"/>
        <family val="2"/>
      </rPr>
      <t>Re</t>
    </r>
    <r>
      <rPr>
        <sz val="11"/>
        <rFont val="Arial"/>
        <family val="2"/>
      </rPr>
      <t xml:space="preserve"> </t>
    </r>
    <r>
      <rPr>
        <sz val="11"/>
        <rFont val="Arial"/>
        <family val="2"/>
      </rPr>
      <t>=</t>
    </r>
  </si>
  <si>
    <r>
      <t>M</t>
    </r>
    <r>
      <rPr>
        <vertAlign val="subscript"/>
        <sz val="11"/>
        <rFont val="Arial"/>
        <family val="2"/>
      </rPr>
      <t>b</t>
    </r>
    <r>
      <rPr>
        <sz val="11"/>
        <rFont val="Arial"/>
        <family val="2"/>
      </rPr>
      <t xml:space="preserve"> + 5*1²/2</t>
    </r>
    <r>
      <rPr>
        <sz val="11"/>
        <rFont val="Arial"/>
        <family val="2"/>
      </rPr>
      <t xml:space="preserve"> = 0</t>
    </r>
  </si>
  <si>
    <r>
      <t>M</t>
    </r>
    <r>
      <rPr>
        <vertAlign val="subscript"/>
        <sz val="11"/>
        <rFont val="Arial"/>
        <family val="2"/>
      </rPr>
      <t>b</t>
    </r>
    <r>
      <rPr>
        <sz val="11"/>
        <rFont val="Arial"/>
        <family val="2"/>
      </rPr>
      <t xml:space="preserve"> </t>
    </r>
    <r>
      <rPr>
        <sz val="11"/>
        <rFont val="Arial"/>
        <family val="2"/>
      </rPr>
      <t>=</t>
    </r>
  </si>
  <si>
    <t>Knoten c</t>
  </si>
  <si>
    <r>
      <t>S</t>
    </r>
    <r>
      <rPr>
        <sz val="11"/>
        <rFont val="Arial"/>
        <family val="2"/>
      </rPr>
      <t>H</t>
    </r>
    <r>
      <rPr>
        <vertAlign val="subscript"/>
        <sz val="11"/>
        <rFont val="Arial"/>
        <family val="2"/>
      </rPr>
      <t>Li</t>
    </r>
    <r>
      <rPr>
        <sz val="11"/>
        <rFont val="Arial"/>
        <family val="2"/>
      </rPr>
      <t xml:space="preserve"> = 0: </t>
    </r>
  </si>
  <si>
    <r>
      <t>N_li</t>
    </r>
    <r>
      <rPr>
        <sz val="11"/>
        <rFont val="Arial"/>
        <family val="2"/>
      </rPr>
      <t xml:space="preserve"> =</t>
    </r>
  </si>
  <si>
    <r>
      <t>S</t>
    </r>
    <r>
      <rPr>
        <sz val="11"/>
        <rFont val="Arial"/>
        <family val="2"/>
      </rPr>
      <t>H</t>
    </r>
    <r>
      <rPr>
        <vertAlign val="subscript"/>
        <sz val="11"/>
        <rFont val="Arial"/>
        <family val="2"/>
      </rPr>
      <t>Re</t>
    </r>
    <r>
      <rPr>
        <sz val="11"/>
        <rFont val="Arial"/>
        <family val="2"/>
      </rPr>
      <t xml:space="preserve"> = 0: </t>
    </r>
  </si>
  <si>
    <r>
      <t>N_re</t>
    </r>
    <r>
      <rPr>
        <sz val="11"/>
        <rFont val="Arial"/>
        <family val="2"/>
      </rPr>
      <t xml:space="preserve"> + F1_h</t>
    </r>
    <r>
      <rPr>
        <vertAlign val="subscript"/>
        <sz val="11"/>
        <rFont val="Arial"/>
        <family val="2"/>
      </rPr>
      <t xml:space="preserve"> </t>
    </r>
    <r>
      <rPr>
        <sz val="11"/>
        <rFont val="Arial"/>
        <family val="2"/>
      </rPr>
      <t>= 0</t>
    </r>
  </si>
  <si>
    <r>
      <t>N_re</t>
    </r>
    <r>
      <rPr>
        <sz val="11"/>
        <rFont val="Arial"/>
        <family val="2"/>
      </rPr>
      <t xml:space="preserve"> </t>
    </r>
    <r>
      <rPr>
        <sz val="11"/>
        <rFont val="Arial"/>
        <family val="2"/>
      </rPr>
      <t>=</t>
    </r>
  </si>
  <si>
    <r>
      <t>V_li</t>
    </r>
    <r>
      <rPr>
        <sz val="11"/>
        <rFont val="Arial"/>
        <family val="2"/>
      </rPr>
      <t xml:space="preserve"> </t>
    </r>
    <r>
      <rPr>
        <sz val="11"/>
        <rFont val="Arial"/>
        <family val="2"/>
      </rPr>
      <t>=</t>
    </r>
  </si>
  <si>
    <r>
      <t>V_re</t>
    </r>
    <r>
      <rPr>
        <sz val="11"/>
        <rFont val="Arial"/>
        <family val="2"/>
      </rPr>
      <t xml:space="preserve"> </t>
    </r>
    <r>
      <rPr>
        <sz val="11"/>
        <rFont val="Arial"/>
        <family val="2"/>
      </rPr>
      <t>=</t>
    </r>
  </si>
  <si>
    <r>
      <t>S</t>
    </r>
    <r>
      <rPr>
        <sz val="11"/>
        <rFont val="Arial"/>
        <family val="2"/>
      </rPr>
      <t>M</t>
    </r>
    <r>
      <rPr>
        <vertAlign val="subscript"/>
        <sz val="11"/>
        <rFont val="Arial"/>
        <family val="2"/>
      </rPr>
      <t>c</t>
    </r>
    <r>
      <rPr>
        <sz val="11"/>
        <rFont val="Arial"/>
        <family val="2"/>
      </rPr>
      <t xml:space="preserve"> = 0: </t>
    </r>
  </si>
  <si>
    <r>
      <t>M_c</t>
    </r>
    <r>
      <rPr>
        <sz val="11"/>
        <rFont val="Arial"/>
        <family val="2"/>
      </rPr>
      <t xml:space="preserve"> </t>
    </r>
    <r>
      <rPr>
        <sz val="11"/>
        <rFont val="Arial"/>
        <family val="2"/>
      </rPr>
      <t>=</t>
    </r>
  </si>
  <si>
    <t>Knoten d</t>
  </si>
  <si>
    <r>
      <t>N_li</t>
    </r>
    <r>
      <rPr>
        <sz val="11"/>
        <rFont val="Arial"/>
        <family val="2"/>
      </rPr>
      <t xml:space="preserve"> + F1_h</t>
    </r>
    <r>
      <rPr>
        <vertAlign val="subscript"/>
        <sz val="11"/>
        <rFont val="Arial"/>
        <family val="2"/>
      </rPr>
      <t xml:space="preserve"> </t>
    </r>
    <r>
      <rPr>
        <sz val="11"/>
        <rFont val="Arial"/>
        <family val="2"/>
      </rPr>
      <t>+ D_h</t>
    </r>
    <r>
      <rPr>
        <sz val="11"/>
        <rFont val="Arial"/>
        <family val="2"/>
      </rPr>
      <t xml:space="preserve"> = 0</t>
    </r>
  </si>
  <si>
    <r>
      <t>N_li</t>
    </r>
    <r>
      <rPr>
        <sz val="11"/>
        <rFont val="Arial"/>
        <family val="2"/>
      </rPr>
      <t xml:space="preserve"> </t>
    </r>
    <r>
      <rPr>
        <sz val="11"/>
        <rFont val="Arial"/>
        <family val="2"/>
      </rPr>
      <t>=</t>
    </r>
  </si>
  <si>
    <r>
      <t>N_re</t>
    </r>
    <r>
      <rPr>
        <sz val="11"/>
        <rFont val="Arial"/>
        <family val="2"/>
      </rPr>
      <t xml:space="preserve"> + F1_h</t>
    </r>
    <r>
      <rPr>
        <vertAlign val="subscript"/>
        <sz val="11"/>
        <rFont val="Arial"/>
        <family val="2"/>
      </rPr>
      <t xml:space="preserve"> </t>
    </r>
    <r>
      <rPr>
        <sz val="11"/>
        <rFont val="Arial"/>
        <family val="2"/>
      </rPr>
      <t>+ D_h - F2_h</t>
    </r>
    <r>
      <rPr>
        <sz val="11"/>
        <rFont val="Arial"/>
        <family val="2"/>
      </rPr>
      <t xml:space="preserve"> = 0</t>
    </r>
  </si>
  <si>
    <r>
      <t>M_d</t>
    </r>
    <r>
      <rPr>
        <sz val="11"/>
        <rFont val="Arial"/>
        <family val="2"/>
      </rPr>
      <t xml:space="preserve"> </t>
    </r>
    <r>
      <rPr>
        <sz val="11"/>
        <rFont val="Arial"/>
        <family val="2"/>
      </rPr>
      <t>=</t>
    </r>
  </si>
  <si>
    <t>• Schnittkräftverläufe</t>
  </si>
  <si>
    <t>Normalkraft [kN]</t>
  </si>
  <si>
    <t>Querkraft [kN]</t>
  </si>
  <si>
    <t>Moment [kNm]</t>
  </si>
  <si>
    <t>Lastaufstellung</t>
  </si>
  <si>
    <t>Beispiel</t>
  </si>
  <si>
    <t>Dippelbaumdecke</t>
  </si>
  <si>
    <t>cm</t>
  </si>
  <si>
    <t>Schicht</t>
  </si>
  <si>
    <t>Stärke</t>
  </si>
  <si>
    <t>Wichte</t>
  </si>
  <si>
    <t>Last</t>
  </si>
  <si>
    <t>kN/m²</t>
  </si>
  <si>
    <t>Parkett</t>
  </si>
  <si>
    <t>Zementestrich</t>
  </si>
  <si>
    <t>Styropobeton i.M.</t>
  </si>
  <si>
    <t>Dippelbaum</t>
  </si>
  <si>
    <t>Schalung</t>
  </si>
  <si>
    <t>Innenputz</t>
  </si>
  <si>
    <t>Tramdecke</t>
  </si>
  <si>
    <t>FE-Folie einlagig</t>
  </si>
  <si>
    <t>Tram b / h</t>
  </si>
  <si>
    <t>/</t>
  </si>
  <si>
    <t>TSD</t>
  </si>
  <si>
    <t>Holzspannplatte</t>
  </si>
  <si>
    <t>Mineralfaserd.</t>
  </si>
  <si>
    <t>GKF 2x</t>
  </si>
  <si>
    <t>Stahlbetondecke</t>
  </si>
  <si>
    <t>Linoleum</t>
  </si>
  <si>
    <t>Folie</t>
  </si>
  <si>
    <t>STB-Decke</t>
  </si>
  <si>
    <t>Schwerpunkt 01</t>
  </si>
  <si>
    <r>
      <t>A</t>
    </r>
    <r>
      <rPr>
        <vertAlign val="subscript"/>
        <sz val="10"/>
        <rFont val="Arial"/>
        <family val="2"/>
      </rPr>
      <t>4</t>
    </r>
  </si>
  <si>
    <r>
      <t>A</t>
    </r>
    <r>
      <rPr>
        <vertAlign val="subscript"/>
        <sz val="10"/>
        <rFont val="Arial"/>
        <family val="2"/>
      </rPr>
      <t>2</t>
    </r>
  </si>
  <si>
    <r>
      <t>A</t>
    </r>
    <r>
      <rPr>
        <vertAlign val="subscript"/>
        <sz val="10"/>
        <rFont val="Arial"/>
        <family val="2"/>
      </rPr>
      <t>3</t>
    </r>
  </si>
  <si>
    <r>
      <t>A</t>
    </r>
    <r>
      <rPr>
        <vertAlign val="subscript"/>
        <sz val="10"/>
        <rFont val="Arial"/>
        <family val="2"/>
      </rPr>
      <t>1</t>
    </r>
  </si>
  <si>
    <t>+z</t>
  </si>
  <si>
    <t>Schwerpunkt</t>
  </si>
  <si>
    <t>• Schwerpunkt</t>
  </si>
  <si>
    <r>
      <t>A</t>
    </r>
    <r>
      <rPr>
        <vertAlign val="subscript"/>
        <sz val="10"/>
        <color indexed="9"/>
        <rFont val="Arial"/>
        <family val="2"/>
      </rPr>
      <t>i</t>
    </r>
  </si>
  <si>
    <r>
      <t>y</t>
    </r>
    <r>
      <rPr>
        <vertAlign val="subscript"/>
        <sz val="10"/>
        <color indexed="9"/>
        <rFont val="Arial"/>
        <family val="2"/>
      </rPr>
      <t>i</t>
    </r>
  </si>
  <si>
    <r>
      <t>z</t>
    </r>
    <r>
      <rPr>
        <vertAlign val="subscript"/>
        <sz val="10"/>
        <color indexed="9"/>
        <rFont val="Arial"/>
        <family val="2"/>
      </rPr>
      <t>i</t>
    </r>
  </si>
  <si>
    <r>
      <t>A</t>
    </r>
    <r>
      <rPr>
        <vertAlign val="subscript"/>
        <sz val="10"/>
        <color indexed="9"/>
        <rFont val="Arial"/>
        <family val="2"/>
      </rPr>
      <t>i</t>
    </r>
    <r>
      <rPr>
        <sz val="10"/>
        <color indexed="9"/>
        <rFont val="Arial"/>
        <family val="2"/>
      </rPr>
      <t xml:space="preserve"> * y</t>
    </r>
    <r>
      <rPr>
        <vertAlign val="subscript"/>
        <sz val="10"/>
        <color indexed="9"/>
        <rFont val="Arial"/>
        <family val="2"/>
      </rPr>
      <t>i</t>
    </r>
  </si>
  <si>
    <r>
      <t>A</t>
    </r>
    <r>
      <rPr>
        <vertAlign val="subscript"/>
        <sz val="10"/>
        <color indexed="9"/>
        <rFont val="Arial"/>
        <family val="2"/>
      </rPr>
      <t>i</t>
    </r>
    <r>
      <rPr>
        <sz val="10"/>
        <color indexed="9"/>
        <rFont val="Arial"/>
        <family val="2"/>
      </rPr>
      <t xml:space="preserve"> * z</t>
    </r>
    <r>
      <rPr>
        <vertAlign val="subscript"/>
        <sz val="10"/>
        <color indexed="9"/>
        <rFont val="Arial"/>
        <family val="2"/>
      </rPr>
      <t>i</t>
    </r>
  </si>
  <si>
    <t>cm²</t>
  </si>
  <si>
    <r>
      <t>cm</t>
    </r>
    <r>
      <rPr>
        <vertAlign val="superscript"/>
        <sz val="10"/>
        <color indexed="9"/>
        <rFont val="Arial"/>
        <family val="2"/>
      </rPr>
      <t>3</t>
    </r>
  </si>
  <si>
    <r>
      <t>y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 xml:space="preserve"> =</t>
    </r>
  </si>
  <si>
    <r>
      <t>S</t>
    </r>
    <r>
      <rPr>
        <sz val="10"/>
        <rFont val="Arial"/>
        <family val="2"/>
      </rPr>
      <t xml:space="preserve"> A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* y</t>
    </r>
    <r>
      <rPr>
        <vertAlign val="subscript"/>
        <sz val="10"/>
        <rFont val="Arial"/>
        <family val="2"/>
      </rPr>
      <t>i</t>
    </r>
  </si>
  <si>
    <r>
      <t>S</t>
    </r>
    <r>
      <rPr>
        <sz val="10"/>
        <rFont val="Arial"/>
        <family val="2"/>
      </rPr>
      <t xml:space="preserve"> A</t>
    </r>
    <r>
      <rPr>
        <vertAlign val="subscript"/>
        <sz val="10"/>
        <rFont val="Arial"/>
        <family val="2"/>
      </rPr>
      <t>i</t>
    </r>
  </si>
  <si>
    <r>
      <t>z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 xml:space="preserve"> =</t>
    </r>
  </si>
  <si>
    <r>
      <t>S</t>
    </r>
    <r>
      <rPr>
        <sz val="10"/>
        <rFont val="Arial"/>
        <family val="2"/>
      </rPr>
      <t xml:space="preserve"> A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* z</t>
    </r>
    <r>
      <rPr>
        <vertAlign val="subscript"/>
        <sz val="10"/>
        <rFont val="Arial"/>
        <family val="2"/>
      </rPr>
      <t>i</t>
    </r>
  </si>
  <si>
    <t>lizenziert für</t>
  </si>
  <si>
    <t>Version:</t>
  </si>
  <si>
    <t>v 1.0</t>
  </si>
  <si>
    <r>
      <t xml:space="preserve">DIE </t>
    </r>
    <r>
      <rPr>
        <b/>
        <sz val="9"/>
        <color theme="1"/>
        <rFont val="Arial Narrow"/>
        <family val="2"/>
      </rPr>
      <t>BSP BEMESSUNGSSOFTWARE</t>
    </r>
    <r>
      <rPr>
        <sz val="9"/>
        <color theme="1"/>
        <rFont val="Arial Narrow"/>
        <family val="2"/>
      </rPr>
      <t xml:space="preserve"> DIENT DER STICHPROBENARTIGEN ÜBERPRÜFUNG IHRER RECHENERGEBNISSE.</t>
    </r>
  </si>
  <si>
    <r>
      <t xml:space="preserve">WEITERE INFOS ZU </t>
    </r>
    <r>
      <rPr>
        <b/>
        <sz val="9"/>
        <color theme="1"/>
        <rFont val="Arial Narrow"/>
        <family val="2"/>
      </rPr>
      <t>BSP BEMESSUNGSSOFTWARE</t>
    </r>
    <r>
      <rPr>
        <sz val="9"/>
        <color theme="1"/>
        <rFont val="Arial Narrow"/>
        <family val="2"/>
      </rPr>
      <t xml:space="preserve"> FINDEN SIE AUF</t>
    </r>
  </si>
  <si>
    <t xml:space="preserve">ENDGÜLTIGE QUERKRÄFTE UND STÜTZMOMENTE </t>
  </si>
  <si>
    <t>ZWEIFELD-TRÄGER</t>
  </si>
  <si>
    <t>DREIFELD-TRÄGER</t>
  </si>
  <si>
    <t xml:space="preserve">  LIZENZIERT FÜR</t>
  </si>
  <si>
    <t>Tram b*h/e</t>
  </si>
  <si>
    <t>gk [kN/m²]</t>
  </si>
  <si>
    <t>x Einflussbreite e = 1,0m = gk [kN/m]</t>
  </si>
  <si>
    <t>D E M O V E R S I O N</t>
  </si>
  <si>
    <t>office@statikklasse.at</t>
  </si>
  <si>
    <t>eingeschränkte Funktionalität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</si>
</sst>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9"/>
      <name val="Arial Narrow"/>
      <family val="2"/>
    </font>
    <font>
      <b/>
      <sz val="9"/>
      <color rgb="FFFF0000"/>
      <name val="Arial Narrow"/>
      <family val="2"/>
    </font>
    <font>
      <b/>
      <sz val="9"/>
      <color theme="0"/>
      <name val="Arial Narrow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Arial Narrow"/>
      <family val="2"/>
    </font>
    <font>
      <sz val="10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0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1"/>
      <color rgb="FFFF0000"/>
      <name val="Arial Narrow"/>
      <family val="2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</font>
    <font>
      <sz val="16"/>
      <color theme="1"/>
      <name val="Arial Narrow"/>
      <family val="2"/>
    </font>
    <font>
      <b/>
      <sz val="16"/>
      <color theme="1"/>
      <name val="Arial Narrow"/>
      <family val="2"/>
    </font>
    <font>
      <u/>
      <sz val="10"/>
      <color indexed="12"/>
      <name val="Arial"/>
      <family val="2"/>
    </font>
    <font>
      <u/>
      <sz val="24"/>
      <color indexed="12"/>
      <name val="Arial"/>
      <family val="2"/>
    </font>
    <font>
      <b/>
      <sz val="10"/>
      <name val="Arial Narrow"/>
      <family val="2"/>
    </font>
    <font>
      <sz val="8"/>
      <name val="Arial"/>
      <family val="2"/>
    </font>
    <font>
      <sz val="9"/>
      <name val="Arial"/>
      <family val="2"/>
    </font>
    <font>
      <b/>
      <sz val="14"/>
      <color indexed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name val="Arial Narrow"/>
      <family val="2"/>
    </font>
    <font>
      <b/>
      <sz val="8"/>
      <color theme="0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vertAlign val="subscript"/>
      <sz val="10"/>
      <color indexed="9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sz val="11"/>
      <name val="Symbol"/>
      <family val="1"/>
      <charset val="2"/>
    </font>
    <font>
      <sz val="10"/>
      <name val="Symbol"/>
      <family val="1"/>
      <charset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10"/>
      <color indexed="55"/>
      <name val="Arial"/>
      <family val="2"/>
    </font>
    <font>
      <b/>
      <sz val="8"/>
      <color indexed="9"/>
      <name val="Arial"/>
      <family val="2"/>
    </font>
    <font>
      <sz val="10"/>
      <name val="Arial Narrow"/>
      <family val="2"/>
    </font>
    <font>
      <sz val="9"/>
      <name val="Arial Narrow"/>
      <family val="2"/>
    </font>
    <font>
      <vertAlign val="subscript"/>
      <sz val="10"/>
      <name val="Arial"/>
      <family val="2"/>
    </font>
    <font>
      <b/>
      <sz val="11"/>
      <name val="Arial"/>
      <family val="2"/>
    </font>
    <font>
      <vertAlign val="subscript"/>
      <sz val="11"/>
      <name val="Arial"/>
      <family val="2"/>
    </font>
    <font>
      <sz val="9"/>
      <color indexed="60"/>
      <name val="Arial"/>
      <family val="2"/>
    </font>
    <font>
      <vertAlign val="subscript"/>
      <sz val="9"/>
      <color indexed="60"/>
      <name val="Arial"/>
      <family val="2"/>
    </font>
    <font>
      <sz val="9"/>
      <color indexed="55"/>
      <name val="Arial"/>
      <family val="2"/>
    </font>
    <font>
      <sz val="9"/>
      <color indexed="23"/>
      <name val="Arial"/>
      <family val="2"/>
    </font>
    <font>
      <sz val="9"/>
      <color indexed="9"/>
      <name val="Arial"/>
      <family val="2"/>
    </font>
    <font>
      <sz val="10"/>
      <color indexed="23"/>
      <name val="Arial"/>
      <family val="2"/>
    </font>
    <font>
      <sz val="11"/>
      <color indexed="55"/>
      <name val="Arial"/>
      <family val="2"/>
    </font>
    <font>
      <sz val="11"/>
      <color indexed="23"/>
      <name val="Arial"/>
      <family val="2"/>
    </font>
    <font>
      <sz val="11"/>
      <color indexed="9"/>
      <name val="Arial"/>
      <family val="2"/>
    </font>
    <font>
      <sz val="9"/>
      <color indexed="55"/>
      <name val="Arial Narrow"/>
      <family val="2"/>
    </font>
    <font>
      <sz val="8"/>
      <color indexed="55"/>
      <name val="Arial"/>
      <family val="2"/>
    </font>
    <font>
      <sz val="8"/>
      <color theme="0"/>
      <name val="Arial"/>
      <family val="2"/>
    </font>
    <font>
      <sz val="10"/>
      <color indexed="60"/>
      <name val="Arial"/>
      <family val="2"/>
    </font>
    <font>
      <b/>
      <sz val="10"/>
      <color theme="0"/>
      <name val="Arial"/>
      <family val="2"/>
    </font>
    <font>
      <vertAlign val="superscript"/>
      <sz val="10"/>
      <color indexed="9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 Narrow"/>
      <family val="2"/>
    </font>
    <font>
      <sz val="11"/>
      <color theme="0" tint="-0.34998626667073579"/>
      <name val="Calibri"/>
      <family val="2"/>
      <scheme val="minor"/>
    </font>
    <font>
      <sz val="9"/>
      <color theme="0" tint="-0.34998626667073579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2" fillId="0" borderId="0"/>
    <xf numFmtId="0" fontId="26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5" fillId="0" borderId="4" xfId="0" applyFont="1" applyBorder="1" applyProtection="1"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0" fillId="0" borderId="6" xfId="0" applyBorder="1" applyProtection="1">
      <protection hidden="1"/>
    </xf>
    <xf numFmtId="0" fontId="5" fillId="0" borderId="6" xfId="0" applyFont="1" applyBorder="1" applyProtection="1">
      <protection hidden="1"/>
    </xf>
    <xf numFmtId="0" fontId="4" fillId="0" borderId="6" xfId="0" applyFont="1" applyBorder="1" applyAlignment="1" applyProtection="1">
      <alignment horizontal="right"/>
      <protection hidden="1"/>
    </xf>
    <xf numFmtId="0" fontId="3" fillId="0" borderId="7" xfId="0" applyFont="1" applyBorder="1" applyProtection="1">
      <protection hidden="1"/>
    </xf>
    <xf numFmtId="0" fontId="3" fillId="0" borderId="7" xfId="0" applyFont="1" applyBorder="1" applyAlignment="1" applyProtection="1">
      <alignment vertical="top"/>
      <protection hidden="1"/>
    </xf>
    <xf numFmtId="0" fontId="5" fillId="0" borderId="7" xfId="0" applyFont="1" applyBorder="1" applyProtection="1">
      <protection hidden="1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2" fontId="3" fillId="0" borderId="3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4" fillId="0" borderId="6" xfId="0" applyFont="1" applyBorder="1" applyProtection="1">
      <protection hidden="1"/>
    </xf>
    <xf numFmtId="0" fontId="8" fillId="0" borderId="6" xfId="0" applyFont="1" applyBorder="1" applyAlignment="1" applyProtection="1">
      <alignment horizontal="right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7" xfId="0" applyFont="1" applyBorder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left" vertical="center"/>
      <protection hidden="1"/>
    </xf>
    <xf numFmtId="164" fontId="4" fillId="0" borderId="0" xfId="0" applyNumberFormat="1" applyFont="1" applyProtection="1"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1" xfId="0" applyFont="1" applyBorder="1" applyProtection="1">
      <protection hidden="1"/>
    </xf>
    <xf numFmtId="0" fontId="4" fillId="0" borderId="4" xfId="0" applyFont="1" applyBorder="1" applyProtection="1">
      <protection hidden="1"/>
    </xf>
    <xf numFmtId="164" fontId="4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quotePrefix="1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3" xfId="0" applyFont="1" applyBorder="1" applyProtection="1">
      <protection hidden="1"/>
    </xf>
    <xf numFmtId="0" fontId="4" fillId="0" borderId="1" xfId="0" applyFont="1" applyBorder="1" applyAlignment="1" applyProtection="1">
      <alignment horizontal="right"/>
      <protection hidden="1"/>
    </xf>
    <xf numFmtId="164" fontId="4" fillId="0" borderId="1" xfId="0" applyNumberFormat="1" applyFont="1" applyBorder="1" applyProtection="1">
      <protection hidden="1"/>
    </xf>
    <xf numFmtId="0" fontId="4" fillId="0" borderId="2" xfId="0" applyFont="1" applyBorder="1" applyProtection="1">
      <protection hidden="1"/>
    </xf>
    <xf numFmtId="164" fontId="2" fillId="0" borderId="0" xfId="0" applyNumberFormat="1" applyFont="1" applyProtection="1">
      <protection hidden="1"/>
    </xf>
    <xf numFmtId="164" fontId="4" fillId="0" borderId="0" xfId="0" quotePrefix="1" applyNumberFormat="1" applyFont="1" applyProtection="1">
      <protection hidden="1"/>
    </xf>
    <xf numFmtId="0" fontId="4" fillId="0" borderId="8" xfId="0" applyFont="1" applyBorder="1" applyProtection="1">
      <protection hidden="1"/>
    </xf>
    <xf numFmtId="0" fontId="4" fillId="0" borderId="9" xfId="0" applyFont="1" applyBorder="1" applyProtection="1">
      <protection hidden="1"/>
    </xf>
    <xf numFmtId="0" fontId="4" fillId="0" borderId="5" xfId="0" applyFont="1" applyBorder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9" xfId="0" applyFont="1" applyBorder="1" applyAlignment="1" applyProtection="1">
      <alignment horizontal="left"/>
      <protection hidden="1"/>
    </xf>
    <xf numFmtId="0" fontId="13" fillId="0" borderId="0" xfId="2" applyFont="1" applyAlignment="1">
      <alignment horizontal="left"/>
    </xf>
    <xf numFmtId="0" fontId="12" fillId="0" borderId="0" xfId="2" applyAlignment="1">
      <alignment horizontal="left"/>
    </xf>
    <xf numFmtId="0" fontId="14" fillId="0" borderId="0" xfId="2" applyFont="1" applyAlignment="1">
      <alignment horizontal="center" vertical="center"/>
    </xf>
    <xf numFmtId="0" fontId="12" fillId="0" borderId="0" xfId="2"/>
    <xf numFmtId="0" fontId="15" fillId="0" borderId="0" xfId="2" applyFont="1" applyAlignment="1">
      <alignment vertical="center"/>
    </xf>
    <xf numFmtId="0" fontId="16" fillId="0" borderId="0" xfId="2" applyFont="1" applyAlignment="1">
      <alignment vertical="top"/>
    </xf>
    <xf numFmtId="0" fontId="17" fillId="3" borderId="0" xfId="2" applyFont="1" applyFill="1"/>
    <xf numFmtId="0" fontId="18" fillId="3" borderId="0" xfId="2" applyFont="1" applyFill="1" applyAlignment="1">
      <alignment horizontal="center" vertical="center"/>
    </xf>
    <xf numFmtId="0" fontId="21" fillId="0" borderId="0" xfId="2" applyFont="1"/>
    <xf numFmtId="0" fontId="23" fillId="2" borderId="0" xfId="2" applyFont="1" applyFill="1"/>
    <xf numFmtId="0" fontId="25" fillId="2" borderId="0" xfId="2" applyFont="1" applyFill="1"/>
    <xf numFmtId="0" fontId="23" fillId="0" borderId="0" xfId="2" applyFont="1"/>
    <xf numFmtId="0" fontId="25" fillId="0" borderId="0" xfId="2" applyFont="1"/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7" fillId="0" borderId="0" xfId="3" applyFont="1" applyFill="1" applyAlignment="1">
      <alignment horizontal="center"/>
    </xf>
    <xf numFmtId="0" fontId="28" fillId="0" borderId="0" xfId="2" applyFont="1" applyAlignment="1" applyProtection="1">
      <alignment vertical="justify"/>
      <protection hidden="1"/>
    </xf>
    <xf numFmtId="0" fontId="12" fillId="0" borderId="0" xfId="2" applyProtection="1">
      <protection hidden="1"/>
    </xf>
    <xf numFmtId="0" fontId="29" fillId="0" borderId="7" xfId="2" applyFont="1" applyBorder="1" applyAlignment="1" applyProtection="1">
      <alignment horizontal="right"/>
      <protection hidden="1"/>
    </xf>
    <xf numFmtId="0" fontId="30" fillId="0" borderId="0" xfId="2" applyFont="1" applyProtection="1">
      <protection hidden="1"/>
    </xf>
    <xf numFmtId="0" fontId="12" fillId="0" borderId="7" xfId="2" applyBorder="1" applyProtection="1">
      <protection hidden="1"/>
    </xf>
    <xf numFmtId="0" fontId="31" fillId="0" borderId="0" xfId="3" applyFont="1" applyFill="1" applyAlignment="1" applyProtection="1">
      <alignment horizontal="center" vertical="center"/>
      <protection hidden="1"/>
    </xf>
    <xf numFmtId="0" fontId="32" fillId="0" borderId="0" xfId="3" applyFont="1" applyFill="1" applyBorder="1" applyAlignment="1" applyProtection="1">
      <alignment horizontal="center" vertical="center"/>
      <protection hidden="1"/>
    </xf>
    <xf numFmtId="0" fontId="32" fillId="0" borderId="7" xfId="3" applyFont="1" applyFill="1" applyBorder="1" applyAlignment="1" applyProtection="1">
      <alignment horizontal="center" vertical="center"/>
      <protection hidden="1"/>
    </xf>
    <xf numFmtId="0" fontId="33" fillId="0" borderId="0" xfId="3" applyFont="1" applyFill="1" applyBorder="1" applyAlignment="1" applyProtection="1">
      <alignment horizontal="center" vertical="center"/>
      <protection hidden="1"/>
    </xf>
    <xf numFmtId="0" fontId="34" fillId="0" borderId="0" xfId="2" applyFont="1" applyAlignment="1" applyProtection="1">
      <alignment horizontal="center"/>
      <protection hidden="1"/>
    </xf>
    <xf numFmtId="0" fontId="12" fillId="0" borderId="0" xfId="2" applyAlignment="1" applyProtection="1">
      <alignment horizontal="center"/>
      <protection hidden="1"/>
    </xf>
    <xf numFmtId="0" fontId="32" fillId="0" borderId="0" xfId="2" applyFont="1" applyProtection="1">
      <protection hidden="1"/>
    </xf>
    <xf numFmtId="0" fontId="36" fillId="0" borderId="0" xfId="2" applyFont="1" applyProtection="1">
      <protection hidden="1"/>
    </xf>
    <xf numFmtId="165" fontId="29" fillId="0" borderId="0" xfId="2" applyNumberFormat="1" applyFont="1" applyProtection="1">
      <protection hidden="1"/>
    </xf>
    <xf numFmtId="0" fontId="12" fillId="0" borderId="0" xfId="2" quotePrefix="1" applyProtection="1">
      <protection hidden="1"/>
    </xf>
    <xf numFmtId="0" fontId="37" fillId="0" borderId="0" xfId="2" applyFont="1" applyAlignment="1" applyProtection="1">
      <alignment horizontal="center"/>
      <protection hidden="1"/>
    </xf>
    <xf numFmtId="0" fontId="32" fillId="0" borderId="0" xfId="2" applyFont="1" applyAlignment="1" applyProtection="1">
      <alignment horizontal="center"/>
      <protection hidden="1"/>
    </xf>
    <xf numFmtId="0" fontId="38" fillId="0" borderId="0" xfId="2" applyFont="1" applyProtection="1">
      <protection hidden="1"/>
    </xf>
    <xf numFmtId="0" fontId="17" fillId="3" borderId="1" xfId="2" applyFont="1" applyFill="1" applyBorder="1" applyProtection="1">
      <protection hidden="1"/>
    </xf>
    <xf numFmtId="0" fontId="12" fillId="0" borderId="0" xfId="2" applyAlignment="1" applyProtection="1">
      <alignment horizontal="center" vertical="center"/>
      <protection hidden="1"/>
    </xf>
    <xf numFmtId="0" fontId="41" fillId="0" borderId="0" xfId="2" applyFont="1" applyAlignment="1" applyProtection="1">
      <alignment vertical="center"/>
      <protection hidden="1"/>
    </xf>
    <xf numFmtId="0" fontId="12" fillId="0" borderId="0" xfId="2" applyAlignment="1" applyProtection="1">
      <alignment vertical="center"/>
      <protection hidden="1"/>
    </xf>
    <xf numFmtId="0" fontId="41" fillId="0" borderId="0" xfId="2" applyFont="1" applyProtection="1">
      <protection hidden="1"/>
    </xf>
    <xf numFmtId="20" fontId="12" fillId="0" borderId="0" xfId="2" applyNumberFormat="1" applyProtection="1">
      <protection hidden="1"/>
    </xf>
    <xf numFmtId="2" fontId="41" fillId="0" borderId="0" xfId="2" applyNumberFormat="1" applyFont="1" applyAlignment="1" applyProtection="1">
      <alignment horizontal="right"/>
      <protection hidden="1"/>
    </xf>
    <xf numFmtId="2" fontId="41" fillId="0" borderId="0" xfId="2" applyNumberFormat="1" applyFont="1" applyProtection="1">
      <protection hidden="1"/>
    </xf>
    <xf numFmtId="0" fontId="41" fillId="0" borderId="0" xfId="2" quotePrefix="1" applyFont="1" applyAlignment="1" applyProtection="1">
      <alignment horizontal="center"/>
      <protection hidden="1"/>
    </xf>
    <xf numFmtId="20" fontId="41" fillId="0" borderId="0" xfId="2" applyNumberFormat="1" applyFont="1" applyProtection="1">
      <protection hidden="1"/>
    </xf>
    <xf numFmtId="0" fontId="41" fillId="0" borderId="0" xfId="2" applyFont="1" applyAlignment="1" applyProtection="1">
      <alignment horizontal="right"/>
      <protection hidden="1"/>
    </xf>
    <xf numFmtId="0" fontId="4" fillId="0" borderId="0" xfId="2" applyFont="1" applyProtection="1">
      <protection hidden="1"/>
    </xf>
    <xf numFmtId="0" fontId="46" fillId="0" borderId="0" xfId="2" applyFont="1" applyProtection="1">
      <protection hidden="1"/>
    </xf>
    <xf numFmtId="0" fontId="47" fillId="3" borderId="0" xfId="2" applyFont="1" applyFill="1" applyAlignment="1" applyProtection="1">
      <alignment horizontal="center" vertical="center"/>
      <protection hidden="1"/>
    </xf>
    <xf numFmtId="0" fontId="30" fillId="0" borderId="0" xfId="2" applyFont="1" applyAlignment="1" applyProtection="1">
      <alignment horizontal="center"/>
      <protection hidden="1"/>
    </xf>
    <xf numFmtId="0" fontId="49" fillId="0" borderId="0" xfId="2" applyFont="1" applyProtection="1">
      <protection hidden="1"/>
    </xf>
    <xf numFmtId="0" fontId="29" fillId="0" borderId="0" xfId="2" applyFont="1" applyAlignment="1" applyProtection="1">
      <alignment horizontal="right"/>
      <protection hidden="1"/>
    </xf>
    <xf numFmtId="0" fontId="51" fillId="0" borderId="0" xfId="2" applyFont="1" applyProtection="1">
      <protection hidden="1"/>
    </xf>
    <xf numFmtId="0" fontId="42" fillId="0" borderId="0" xfId="2" applyFont="1" applyProtection="1">
      <protection hidden="1"/>
    </xf>
    <xf numFmtId="0" fontId="12" fillId="0" borderId="0" xfId="2" applyAlignment="1" applyProtection="1">
      <alignment horizontal="right"/>
      <protection hidden="1"/>
    </xf>
    <xf numFmtId="165" fontId="29" fillId="0" borderId="0" xfId="2" applyNumberFormat="1" applyFont="1" applyAlignment="1" applyProtection="1">
      <alignment horizontal="center"/>
      <protection hidden="1"/>
    </xf>
    <xf numFmtId="165" fontId="29" fillId="0" borderId="0" xfId="2" applyNumberFormat="1" applyFont="1" applyAlignment="1" applyProtection="1">
      <alignment horizontal="left"/>
      <protection hidden="1"/>
    </xf>
    <xf numFmtId="0" fontId="11" fillId="0" borderId="0" xfId="3" applyFont="1" applyBorder="1" applyAlignment="1" applyProtection="1">
      <alignment horizontal="center" vertical="center"/>
      <protection hidden="1"/>
    </xf>
    <xf numFmtId="0" fontId="37" fillId="0" borderId="0" xfId="2" applyFont="1" applyAlignment="1" applyProtection="1">
      <alignment horizontal="left"/>
      <protection hidden="1"/>
    </xf>
    <xf numFmtId="0" fontId="12" fillId="2" borderId="0" xfId="2" applyFill="1" applyProtection="1">
      <protection locked="0"/>
    </xf>
    <xf numFmtId="0" fontId="53" fillId="0" borderId="0" xfId="2" applyFont="1" applyProtection="1">
      <protection hidden="1"/>
    </xf>
    <xf numFmtId="0" fontId="55" fillId="0" borderId="0" xfId="2" applyFont="1" applyProtection="1">
      <protection hidden="1"/>
    </xf>
    <xf numFmtId="0" fontId="56" fillId="0" borderId="0" xfId="2" applyFont="1" applyProtection="1">
      <protection hidden="1"/>
    </xf>
    <xf numFmtId="0" fontId="57" fillId="0" borderId="0" xfId="2" applyFont="1" applyProtection="1">
      <protection hidden="1"/>
    </xf>
    <xf numFmtId="0" fontId="53" fillId="0" borderId="0" xfId="2" applyFont="1" applyAlignment="1" applyProtection="1">
      <alignment horizontal="center"/>
      <protection hidden="1"/>
    </xf>
    <xf numFmtId="0" fontId="58" fillId="0" borderId="0" xfId="2" applyFont="1" applyProtection="1">
      <protection hidden="1"/>
    </xf>
    <xf numFmtId="0" fontId="40" fillId="0" borderId="0" xfId="2" applyFont="1" applyProtection="1">
      <protection hidden="1"/>
    </xf>
    <xf numFmtId="165" fontId="12" fillId="0" borderId="0" xfId="2" applyNumberFormat="1" applyAlignment="1" applyProtection="1">
      <alignment horizontal="center"/>
      <protection hidden="1"/>
    </xf>
    <xf numFmtId="0" fontId="59" fillId="0" borderId="0" xfId="2" applyFont="1" applyProtection="1">
      <protection hidden="1"/>
    </xf>
    <xf numFmtId="0" fontId="60" fillId="0" borderId="0" xfId="2" applyFont="1" applyProtection="1">
      <protection hidden="1"/>
    </xf>
    <xf numFmtId="0" fontId="61" fillId="0" borderId="0" xfId="2" applyFont="1" applyProtection="1">
      <protection hidden="1"/>
    </xf>
    <xf numFmtId="0" fontId="41" fillId="0" borderId="1" xfId="2" applyFont="1" applyBorder="1" applyProtection="1">
      <protection hidden="1"/>
    </xf>
    <xf numFmtId="0" fontId="41" fillId="0" borderId="0" xfId="2" applyFont="1" applyAlignment="1" applyProtection="1">
      <alignment horizontal="right" vertical="center"/>
      <protection hidden="1"/>
    </xf>
    <xf numFmtId="165" fontId="41" fillId="0" borderId="0" xfId="2" applyNumberFormat="1" applyFont="1" applyProtection="1">
      <protection hidden="1"/>
    </xf>
    <xf numFmtId="0" fontId="49" fillId="0" borderId="0" xfId="2" applyFont="1" applyAlignment="1" applyProtection="1">
      <alignment horizontal="left" wrapText="1"/>
      <protection hidden="1"/>
    </xf>
    <xf numFmtId="165" fontId="62" fillId="0" borderId="0" xfId="2" applyNumberFormat="1" applyFont="1" applyProtection="1">
      <protection hidden="1"/>
    </xf>
    <xf numFmtId="0" fontId="62" fillId="0" borderId="0" xfId="2" applyFont="1" applyProtection="1">
      <protection hidden="1"/>
    </xf>
    <xf numFmtId="165" fontId="49" fillId="0" borderId="0" xfId="2" applyNumberFormat="1" applyFont="1" applyProtection="1">
      <protection hidden="1"/>
    </xf>
    <xf numFmtId="0" fontId="49" fillId="0" borderId="0" xfId="2" applyFont="1" applyAlignment="1" applyProtection="1">
      <alignment vertical="center"/>
      <protection hidden="1"/>
    </xf>
    <xf numFmtId="0" fontId="48" fillId="0" borderId="0" xfId="2" applyFont="1" applyProtection="1">
      <protection hidden="1"/>
    </xf>
    <xf numFmtId="0" fontId="17" fillId="3" borderId="0" xfId="2" applyFont="1" applyFill="1" applyProtection="1">
      <protection hidden="1"/>
    </xf>
    <xf numFmtId="0" fontId="17" fillId="3" borderId="7" xfId="2" applyFont="1" applyFill="1" applyBorder="1" applyProtection="1">
      <protection hidden="1"/>
    </xf>
    <xf numFmtId="0" fontId="17" fillId="3" borderId="0" xfId="2" applyFont="1" applyFill="1" applyAlignment="1" applyProtection="1">
      <alignment horizontal="center"/>
      <protection hidden="1"/>
    </xf>
    <xf numFmtId="0" fontId="17" fillId="3" borderId="2" xfId="2" applyFont="1" applyFill="1" applyBorder="1" applyProtection="1">
      <protection hidden="1"/>
    </xf>
    <xf numFmtId="0" fontId="17" fillId="3" borderId="1" xfId="2" applyFont="1" applyFill="1" applyBorder="1" applyAlignment="1" applyProtection="1">
      <alignment horizontal="center"/>
      <protection hidden="1"/>
    </xf>
    <xf numFmtId="2" fontId="41" fillId="0" borderId="0" xfId="2" applyNumberFormat="1" applyFont="1" applyAlignment="1" applyProtection="1">
      <alignment horizontal="center"/>
      <protection hidden="1"/>
    </xf>
    <xf numFmtId="165" fontId="12" fillId="0" borderId="0" xfId="2" applyNumberFormat="1" applyProtection="1">
      <protection hidden="1"/>
    </xf>
    <xf numFmtId="0" fontId="49" fillId="0" borderId="0" xfId="2" applyFont="1" applyAlignment="1" applyProtection="1">
      <alignment horizontal="right" vertical="center"/>
      <protection hidden="1"/>
    </xf>
    <xf numFmtId="0" fontId="65" fillId="0" borderId="0" xfId="2" quotePrefix="1" applyFont="1" applyProtection="1">
      <protection hidden="1"/>
    </xf>
    <xf numFmtId="0" fontId="38" fillId="0" borderId="0" xfId="2" applyFont="1" applyAlignment="1" applyProtection="1">
      <alignment horizontal="left"/>
      <protection hidden="1"/>
    </xf>
    <xf numFmtId="0" fontId="12" fillId="0" borderId="0" xfId="2" applyAlignment="1" applyProtection="1">
      <alignment horizontal="left"/>
      <protection hidden="1"/>
    </xf>
    <xf numFmtId="0" fontId="12" fillId="0" borderId="0" xfId="2" applyAlignment="1" applyProtection="1">
      <alignment horizontal="left" vertical="center"/>
      <protection hidden="1"/>
    </xf>
    <xf numFmtId="0" fontId="66" fillId="3" borderId="1" xfId="2" applyFont="1" applyFill="1" applyBorder="1" applyProtection="1">
      <protection hidden="1"/>
    </xf>
    <xf numFmtId="0" fontId="66" fillId="3" borderId="3" xfId="2" applyFont="1" applyFill="1" applyBorder="1" applyProtection="1">
      <protection hidden="1"/>
    </xf>
    <xf numFmtId="0" fontId="66" fillId="3" borderId="2" xfId="2" applyFont="1" applyFill="1" applyBorder="1" applyProtection="1">
      <protection hidden="1"/>
    </xf>
    <xf numFmtId="165" fontId="66" fillId="3" borderId="2" xfId="2" applyNumberFormat="1" applyFont="1" applyFill="1" applyBorder="1" applyAlignment="1" applyProtection="1">
      <alignment horizontal="center"/>
      <protection hidden="1"/>
    </xf>
    <xf numFmtId="165" fontId="32" fillId="0" borderId="4" xfId="2" applyNumberFormat="1" applyFont="1" applyBorder="1" applyAlignment="1" applyProtection="1">
      <alignment horizontal="center"/>
      <protection hidden="1"/>
    </xf>
    <xf numFmtId="165" fontId="32" fillId="0" borderId="0" xfId="2" applyNumberFormat="1" applyFont="1" applyAlignment="1" applyProtection="1">
      <alignment horizontal="center"/>
      <protection hidden="1"/>
    </xf>
    <xf numFmtId="0" fontId="12" fillId="5" borderId="0" xfId="2" applyFill="1" applyAlignment="1" applyProtection="1">
      <alignment horizontal="center"/>
      <protection hidden="1"/>
    </xf>
    <xf numFmtId="0" fontId="12" fillId="5" borderId="13" xfId="2" applyFill="1" applyBorder="1" applyAlignment="1" applyProtection="1">
      <alignment horizontal="center"/>
      <protection hidden="1"/>
    </xf>
    <xf numFmtId="0" fontId="12" fillId="5" borderId="1" xfId="2" applyFill="1" applyBorder="1" applyAlignment="1" applyProtection="1">
      <alignment horizontal="center"/>
      <protection hidden="1"/>
    </xf>
    <xf numFmtId="165" fontId="32" fillId="0" borderId="0" xfId="2" applyNumberFormat="1" applyFont="1" applyAlignment="1" applyProtection="1">
      <alignment horizontal="right"/>
      <protection hidden="1"/>
    </xf>
    <xf numFmtId="0" fontId="32" fillId="0" borderId="0" xfId="2" applyFont="1" applyAlignment="1" applyProtection="1">
      <alignment horizontal="right"/>
      <protection hidden="1"/>
    </xf>
    <xf numFmtId="0" fontId="68" fillId="0" borderId="0" xfId="2" applyFont="1" applyProtection="1">
      <protection hidden="1"/>
    </xf>
    <xf numFmtId="0" fontId="0" fillId="0" borderId="0" xfId="0" applyBorder="1" applyAlignment="1" applyProtection="1">
      <protection locked="0" hidden="1"/>
    </xf>
    <xf numFmtId="0" fontId="5" fillId="0" borderId="0" xfId="0" applyFont="1" applyBorder="1" applyProtection="1">
      <protection hidden="1"/>
    </xf>
    <xf numFmtId="0" fontId="5" fillId="0" borderId="0" xfId="0" applyFont="1" applyBorder="1" applyAlignment="1" applyProtection="1">
      <protection locked="0" hidden="1"/>
    </xf>
    <xf numFmtId="0" fontId="3" fillId="0" borderId="0" xfId="0" applyFont="1" applyBorder="1" applyAlignment="1" applyProtection="1">
      <alignment horizontal="center" vertical="center"/>
      <protection locked="0" hidden="1"/>
    </xf>
    <xf numFmtId="0" fontId="0" fillId="0" borderId="0" xfId="0" applyBorder="1" applyAlignment="1" applyProtection="1">
      <alignment horizontal="center"/>
      <protection locked="0" hidden="1"/>
    </xf>
    <xf numFmtId="0" fontId="23" fillId="0" borderId="0" xfId="2" applyFont="1" applyFill="1"/>
    <xf numFmtId="0" fontId="25" fillId="0" borderId="0" xfId="2" applyFont="1" applyFill="1"/>
    <xf numFmtId="0" fontId="69" fillId="0" borderId="0" xfId="2" applyFont="1"/>
    <xf numFmtId="0" fontId="12" fillId="0" borderId="0" xfId="2" applyBorder="1" applyProtection="1">
      <protection hidden="1"/>
    </xf>
    <xf numFmtId="0" fontId="12" fillId="0" borderId="0" xfId="2" applyBorder="1" applyAlignment="1" applyProtection="1">
      <alignment horizontal="right"/>
      <protection hidden="1"/>
    </xf>
    <xf numFmtId="0" fontId="23" fillId="6" borderId="0" xfId="2" applyFont="1" applyFill="1"/>
    <xf numFmtId="0" fontId="24" fillId="6" borderId="0" xfId="2" applyFont="1" applyFill="1"/>
    <xf numFmtId="0" fontId="25" fillId="6" borderId="0" xfId="2" applyFont="1" applyFill="1"/>
    <xf numFmtId="0" fontId="1" fillId="0" borderId="0" xfId="1" applyProtection="1">
      <protection hidden="1"/>
    </xf>
    <xf numFmtId="0" fontId="70" fillId="0" borderId="0" xfId="0" applyFont="1" applyProtection="1">
      <protection hidden="1"/>
    </xf>
    <xf numFmtId="0" fontId="71" fillId="0" borderId="0" xfId="0" applyFont="1" applyBorder="1" applyAlignment="1" applyProtection="1">
      <alignment horizontal="right"/>
      <protection hidden="1"/>
    </xf>
    <xf numFmtId="0" fontId="71" fillId="0" borderId="0" xfId="0" applyFont="1" applyBorder="1" applyProtection="1">
      <protection hidden="1"/>
    </xf>
    <xf numFmtId="2" fontId="71" fillId="0" borderId="0" xfId="0" applyNumberFormat="1" applyFont="1" applyBorder="1" applyProtection="1">
      <protection hidden="1"/>
    </xf>
    <xf numFmtId="164" fontId="71" fillId="0" borderId="0" xfId="0" applyNumberFormat="1" applyFont="1" applyBorder="1" applyProtection="1">
      <protection hidden="1"/>
    </xf>
    <xf numFmtId="0" fontId="71" fillId="0" borderId="0" xfId="0" applyNumberFormat="1" applyFont="1" applyBorder="1" applyProtection="1">
      <protection hidden="1"/>
    </xf>
    <xf numFmtId="0" fontId="19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2" fillId="4" borderId="0" xfId="2" applyFont="1" applyFill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1" fillId="0" borderId="0" xfId="3" applyFont="1" applyBorder="1" applyAlignment="1" applyProtection="1">
      <alignment horizontal="center" vertical="center"/>
      <protection hidden="1"/>
    </xf>
    <xf numFmtId="0" fontId="12" fillId="0" borderId="0" xfId="2" applyAlignment="1" applyProtection="1">
      <alignment horizontal="center" vertical="center"/>
      <protection hidden="1"/>
    </xf>
    <xf numFmtId="165" fontId="29" fillId="0" borderId="0" xfId="2" applyNumberFormat="1" applyFont="1" applyAlignment="1" applyProtection="1">
      <alignment horizontal="left"/>
      <protection hidden="1"/>
    </xf>
    <xf numFmtId="165" fontId="63" fillId="0" borderId="0" xfId="2" applyNumberFormat="1" applyFont="1" applyProtection="1">
      <protection hidden="1"/>
    </xf>
    <xf numFmtId="165" fontId="29" fillId="0" borderId="0" xfId="2" applyNumberFormat="1" applyFont="1" applyProtection="1">
      <protection hidden="1"/>
    </xf>
    <xf numFmtId="2" fontId="41" fillId="0" borderId="16" xfId="2" applyNumberFormat="1" applyFont="1" applyBorder="1" applyProtection="1">
      <protection hidden="1"/>
    </xf>
    <xf numFmtId="0" fontId="41" fillId="0" borderId="16" xfId="2" applyFont="1" applyBorder="1" applyProtection="1">
      <protection hidden="1"/>
    </xf>
    <xf numFmtId="165" fontId="12" fillId="2" borderId="0" xfId="2" applyNumberFormat="1" applyFill="1" applyAlignment="1" applyProtection="1">
      <alignment horizontal="center"/>
      <protection locked="0"/>
    </xf>
    <xf numFmtId="2" fontId="41" fillId="0" borderId="0" xfId="2" applyNumberFormat="1" applyFont="1" applyProtection="1">
      <protection hidden="1"/>
    </xf>
    <xf numFmtId="0" fontId="47" fillId="3" borderId="0" xfId="2" applyFont="1" applyFill="1" applyAlignment="1" applyProtection="1">
      <alignment horizontal="center" vertical="center"/>
      <protection hidden="1"/>
    </xf>
    <xf numFmtId="0" fontId="29" fillId="3" borderId="0" xfId="2" applyFont="1" applyFill="1" applyAlignment="1" applyProtection="1">
      <alignment horizontal="center" vertical="center"/>
      <protection hidden="1"/>
    </xf>
    <xf numFmtId="0" fontId="32" fillId="0" borderId="0" xfId="2" applyFont="1" applyAlignment="1" applyProtection="1">
      <alignment horizontal="center"/>
      <protection hidden="1"/>
    </xf>
    <xf numFmtId="0" fontId="12" fillId="0" borderId="0" xfId="2" applyAlignment="1" applyProtection="1">
      <alignment horizontal="center"/>
      <protection hidden="1"/>
    </xf>
    <xf numFmtId="0" fontId="12" fillId="2" borderId="0" xfId="2" applyFill="1" applyAlignment="1" applyProtection="1">
      <alignment horizontal="left" vertical="center"/>
      <protection locked="0"/>
    </xf>
    <xf numFmtId="2" fontId="41" fillId="0" borderId="1" xfId="2" applyNumberFormat="1" applyFont="1" applyBorder="1" applyProtection="1">
      <protection hidden="1"/>
    </xf>
    <xf numFmtId="0" fontId="12" fillId="2" borderId="6" xfId="2" applyFill="1" applyBorder="1" applyAlignment="1" applyProtection="1">
      <alignment vertical="center"/>
      <protection locked="0"/>
    </xf>
    <xf numFmtId="0" fontId="12" fillId="0" borderId="6" xfId="2" applyBorder="1" applyProtection="1">
      <protection locked="0"/>
    </xf>
    <xf numFmtId="0" fontId="12" fillId="0" borderId="13" xfId="2" applyBorder="1" applyProtection="1">
      <protection locked="0"/>
    </xf>
    <xf numFmtId="164" fontId="12" fillId="2" borderId="6" xfId="2" applyNumberFormat="1" applyFill="1" applyBorder="1" applyAlignment="1" applyProtection="1">
      <alignment horizontal="center" vertical="center"/>
      <protection locked="0"/>
    </xf>
    <xf numFmtId="164" fontId="12" fillId="2" borderId="6" xfId="2" applyNumberFormat="1" applyFill="1" applyBorder="1" applyProtection="1">
      <protection locked="0"/>
    </xf>
    <xf numFmtId="165" fontId="12" fillId="2" borderId="12" xfId="2" applyNumberFormat="1" applyFill="1" applyBorder="1" applyProtection="1">
      <protection locked="0"/>
    </xf>
    <xf numFmtId="165" fontId="12" fillId="2" borderId="13" xfId="2" applyNumberFormat="1" applyFill="1" applyBorder="1" applyProtection="1">
      <protection locked="0"/>
    </xf>
    <xf numFmtId="2" fontId="12" fillId="0" borderId="6" xfId="2" applyNumberFormat="1" applyBorder="1" applyProtection="1">
      <protection hidden="1"/>
    </xf>
    <xf numFmtId="0" fontId="12" fillId="2" borderId="14" xfId="2" applyFill="1" applyBorder="1" applyAlignment="1" applyProtection="1">
      <alignment vertical="center"/>
      <protection locked="0"/>
    </xf>
    <xf numFmtId="0" fontId="12" fillId="0" borderId="14" xfId="2" applyBorder="1" applyProtection="1">
      <protection locked="0"/>
    </xf>
    <xf numFmtId="0" fontId="12" fillId="0" borderId="15" xfId="2" applyBorder="1" applyProtection="1">
      <protection locked="0"/>
    </xf>
    <xf numFmtId="164" fontId="12" fillId="2" borderId="1" xfId="2" applyNumberFormat="1" applyFill="1" applyBorder="1" applyAlignment="1" applyProtection="1">
      <alignment horizontal="center" vertical="center"/>
      <protection locked="0"/>
    </xf>
    <xf numFmtId="164" fontId="12" fillId="2" borderId="1" xfId="2" applyNumberFormat="1" applyFill="1" applyBorder="1" applyProtection="1">
      <protection locked="0"/>
    </xf>
    <xf numFmtId="165" fontId="12" fillId="2" borderId="3" xfId="2" applyNumberFormat="1" applyFill="1" applyBorder="1" applyProtection="1">
      <protection locked="0"/>
    </xf>
    <xf numFmtId="165" fontId="12" fillId="2" borderId="2" xfId="2" applyNumberFormat="1" applyFill="1" applyBorder="1" applyProtection="1">
      <protection locked="0"/>
    </xf>
    <xf numFmtId="2" fontId="12" fillId="0" borderId="1" xfId="2" applyNumberFormat="1" applyBorder="1" applyProtection="1">
      <protection hidden="1"/>
    </xf>
    <xf numFmtId="165" fontId="12" fillId="0" borderId="0" xfId="2" applyNumberFormat="1" applyProtection="1">
      <protection hidden="1"/>
    </xf>
    <xf numFmtId="0" fontId="12" fillId="2" borderId="10" xfId="2" applyFill="1" applyBorder="1" applyAlignment="1" applyProtection="1">
      <alignment vertical="center"/>
      <protection locked="0"/>
    </xf>
    <xf numFmtId="0" fontId="12" fillId="0" borderId="10" xfId="2" applyBorder="1" applyProtection="1">
      <protection locked="0"/>
    </xf>
    <xf numFmtId="0" fontId="12" fillId="0" borderId="11" xfId="2" applyBorder="1" applyProtection="1">
      <protection locked="0"/>
    </xf>
    <xf numFmtId="164" fontId="12" fillId="2" borderId="0" xfId="2" applyNumberFormat="1" applyFill="1" applyAlignment="1" applyProtection="1">
      <alignment horizontal="center" vertical="center"/>
      <protection locked="0"/>
    </xf>
    <xf numFmtId="164" fontId="12" fillId="2" borderId="0" xfId="2" applyNumberFormat="1" applyFill="1" applyProtection="1">
      <protection locked="0"/>
    </xf>
    <xf numFmtId="165" fontId="12" fillId="2" borderId="4" xfId="2" applyNumberFormat="1" applyFill="1" applyBorder="1" applyProtection="1">
      <protection locked="0"/>
    </xf>
    <xf numFmtId="165" fontId="12" fillId="2" borderId="7" xfId="2" applyNumberFormat="1" applyFill="1" applyBorder="1" applyProtection="1">
      <protection locked="0"/>
    </xf>
    <xf numFmtId="2" fontId="12" fillId="0" borderId="0" xfId="2" applyNumberFormat="1" applyProtection="1">
      <protection hidden="1"/>
    </xf>
    <xf numFmtId="2" fontId="41" fillId="0" borderId="0" xfId="2" applyNumberFormat="1" applyFont="1" applyBorder="1" applyProtection="1">
      <protection hidden="1"/>
    </xf>
    <xf numFmtId="0" fontId="41" fillId="0" borderId="0" xfId="2" applyFont="1" applyBorder="1" applyProtection="1">
      <protection hidden="1"/>
    </xf>
    <xf numFmtId="0" fontId="17" fillId="3" borderId="4" xfId="2" applyFont="1" applyFill="1" applyBorder="1" applyAlignment="1" applyProtection="1">
      <alignment horizontal="center"/>
      <protection hidden="1"/>
    </xf>
    <xf numFmtId="0" fontId="17" fillId="3" borderId="7" xfId="2" applyFont="1" applyFill="1" applyBorder="1" applyAlignment="1" applyProtection="1">
      <alignment horizontal="center"/>
      <protection hidden="1"/>
    </xf>
    <xf numFmtId="0" fontId="17" fillId="3" borderId="3" xfId="2" applyFont="1" applyFill="1" applyBorder="1" applyAlignment="1" applyProtection="1">
      <alignment horizontal="center"/>
      <protection hidden="1"/>
    </xf>
    <xf numFmtId="0" fontId="17" fillId="3" borderId="2" xfId="2" applyFont="1" applyFill="1" applyBorder="1" applyAlignment="1" applyProtection="1">
      <alignment horizontal="center"/>
      <protection hidden="1"/>
    </xf>
    <xf numFmtId="165" fontId="12" fillId="2" borderId="0" xfId="2" applyNumberFormat="1" applyFill="1" applyAlignment="1" applyProtection="1">
      <alignment horizontal="center" vertical="center"/>
      <protection locked="0"/>
    </xf>
    <xf numFmtId="0" fontId="12" fillId="2" borderId="0" xfId="2" applyFill="1" applyAlignment="1" applyProtection="1">
      <alignment vertical="center"/>
      <protection locked="0"/>
    </xf>
    <xf numFmtId="0" fontId="12" fillId="0" borderId="0" xfId="2" applyProtection="1">
      <protection hidden="1"/>
    </xf>
    <xf numFmtId="164" fontId="12" fillId="2" borderId="17" xfId="2" applyNumberFormat="1" applyFill="1" applyBorder="1" applyAlignment="1" applyProtection="1">
      <alignment horizontal="center" vertical="center"/>
      <protection locked="0"/>
    </xf>
    <xf numFmtId="164" fontId="12" fillId="2" borderId="18" xfId="2" applyNumberFormat="1" applyFill="1" applyBorder="1" applyAlignment="1" applyProtection="1">
      <alignment horizontal="center" vertical="center"/>
      <protection locked="0"/>
    </xf>
    <xf numFmtId="164" fontId="12" fillId="2" borderId="19" xfId="2" applyNumberFormat="1" applyFill="1" applyBorder="1" applyProtection="1">
      <protection locked="0"/>
    </xf>
    <xf numFmtId="165" fontId="12" fillId="2" borderId="17" xfId="2" applyNumberFormat="1" applyFill="1" applyBorder="1" applyProtection="1">
      <protection locked="0"/>
    </xf>
    <xf numFmtId="165" fontId="12" fillId="2" borderId="19" xfId="2" applyNumberFormat="1" applyFill="1" applyBorder="1" applyProtection="1">
      <protection locked="0"/>
    </xf>
    <xf numFmtId="2" fontId="12" fillId="0" borderId="18" xfId="2" applyNumberFormat="1" applyBorder="1" applyProtection="1">
      <protection hidden="1"/>
    </xf>
    <xf numFmtId="164" fontId="12" fillId="2" borderId="12" xfId="2" applyNumberFormat="1" applyFill="1" applyBorder="1" applyAlignment="1" applyProtection="1">
      <alignment horizontal="center" vertical="center"/>
      <protection locked="0"/>
    </xf>
    <xf numFmtId="164" fontId="12" fillId="2" borderId="13" xfId="2" applyNumberFormat="1" applyFill="1" applyBorder="1" applyProtection="1">
      <protection locked="0"/>
    </xf>
    <xf numFmtId="0" fontId="12" fillId="2" borderId="0" xfId="2" applyFill="1" applyAlignment="1" applyProtection="1">
      <alignment horizontal="center"/>
      <protection hidden="1"/>
    </xf>
    <xf numFmtId="0" fontId="41" fillId="0" borderId="0" xfId="2" applyFont="1" applyProtection="1">
      <protection hidden="1"/>
    </xf>
    <xf numFmtId="0" fontId="12" fillId="0" borderId="6" xfId="2" applyBorder="1" applyProtection="1">
      <protection hidden="1"/>
    </xf>
    <xf numFmtId="0" fontId="12" fillId="0" borderId="1" xfId="2" applyBorder="1" applyProtection="1">
      <protection hidden="1"/>
    </xf>
    <xf numFmtId="165" fontId="12" fillId="0" borderId="0" xfId="2" applyNumberFormat="1" applyAlignment="1" applyProtection="1">
      <alignment horizontal="center"/>
      <protection hidden="1"/>
    </xf>
    <xf numFmtId="165" fontId="32" fillId="0" borderId="0" xfId="2" applyNumberFormat="1" applyFont="1" applyAlignment="1" applyProtection="1">
      <alignment horizontal="right"/>
      <protection hidden="1"/>
    </xf>
    <xf numFmtId="0" fontId="32" fillId="0" borderId="0" xfId="2" applyFont="1" applyAlignment="1" applyProtection="1">
      <alignment horizontal="right"/>
      <protection hidden="1"/>
    </xf>
    <xf numFmtId="0" fontId="43" fillId="0" borderId="0" xfId="2" applyFont="1" applyAlignment="1" applyProtection="1">
      <alignment horizontal="center"/>
      <protection hidden="1"/>
    </xf>
    <xf numFmtId="0" fontId="12" fillId="0" borderId="0" xfId="2" applyAlignment="1" applyProtection="1">
      <alignment vertical="center"/>
      <protection hidden="1"/>
    </xf>
    <xf numFmtId="0" fontId="43" fillId="0" borderId="1" xfId="2" applyFont="1" applyBorder="1" applyAlignment="1" applyProtection="1">
      <alignment horizontal="center"/>
      <protection hidden="1"/>
    </xf>
    <xf numFmtId="0" fontId="12" fillId="0" borderId="1" xfId="2" applyBorder="1" applyAlignment="1" applyProtection="1">
      <alignment horizontal="center"/>
      <protection hidden="1"/>
    </xf>
    <xf numFmtId="0" fontId="12" fillId="0" borderId="0" xfId="2" quotePrefix="1" applyAlignment="1" applyProtection="1">
      <alignment vertical="center"/>
      <protection hidden="1"/>
    </xf>
    <xf numFmtId="165" fontId="12" fillId="0" borderId="1" xfId="2" applyNumberFormat="1" applyBorder="1" applyAlignment="1" applyProtection="1">
      <alignment horizontal="center"/>
      <protection hidden="1"/>
    </xf>
    <xf numFmtId="165" fontId="12" fillId="0" borderId="16" xfId="2" applyNumberFormat="1" applyBorder="1" applyProtection="1">
      <protection hidden="1"/>
    </xf>
    <xf numFmtId="0" fontId="12" fillId="0" borderId="16" xfId="2" applyBorder="1" applyProtection="1">
      <protection hidden="1"/>
    </xf>
    <xf numFmtId="165" fontId="12" fillId="0" borderId="16" xfId="2" applyNumberFormat="1" applyBorder="1" applyAlignment="1" applyProtection="1">
      <alignment horizontal="center"/>
      <protection hidden="1"/>
    </xf>
    <xf numFmtId="0" fontId="12" fillId="0" borderId="16" xfId="2" applyBorder="1" applyAlignment="1" applyProtection="1">
      <alignment horizontal="center"/>
      <protection hidden="1"/>
    </xf>
    <xf numFmtId="165" fontId="12" fillId="0" borderId="12" xfId="2" applyNumberFormat="1" applyBorder="1" applyProtection="1">
      <protection hidden="1"/>
    </xf>
    <xf numFmtId="165" fontId="12" fillId="0" borderId="13" xfId="2" applyNumberFormat="1" applyBorder="1" applyProtection="1">
      <protection hidden="1"/>
    </xf>
    <xf numFmtId="165" fontId="12" fillId="0" borderId="6" xfId="2" applyNumberFormat="1" applyBorder="1" applyProtection="1">
      <protection hidden="1"/>
    </xf>
    <xf numFmtId="165" fontId="12" fillId="0" borderId="3" xfId="2" applyNumberFormat="1" applyBorder="1" applyProtection="1">
      <protection hidden="1"/>
    </xf>
    <xf numFmtId="165" fontId="12" fillId="0" borderId="2" xfId="2" applyNumberFormat="1" applyBorder="1" applyProtection="1">
      <protection hidden="1"/>
    </xf>
    <xf numFmtId="165" fontId="12" fillId="0" borderId="1" xfId="2" applyNumberFormat="1" applyBorder="1" applyProtection="1">
      <protection hidden="1"/>
    </xf>
    <xf numFmtId="165" fontId="12" fillId="0" borderId="8" xfId="2" applyNumberFormat="1" applyBorder="1" applyProtection="1">
      <protection hidden="1"/>
    </xf>
    <xf numFmtId="165" fontId="12" fillId="0" borderId="5" xfId="2" applyNumberFormat="1" applyBorder="1" applyProtection="1">
      <protection hidden="1"/>
    </xf>
    <xf numFmtId="165" fontId="12" fillId="0" borderId="9" xfId="2" applyNumberFormat="1" applyBorder="1" applyProtection="1">
      <protection hidden="1"/>
    </xf>
    <xf numFmtId="0" fontId="12" fillId="2" borderId="0" xfId="2" applyFill="1" applyAlignment="1" applyProtection="1">
      <alignment vertical="center" textRotation="90"/>
      <protection locked="0"/>
    </xf>
    <xf numFmtId="0" fontId="12" fillId="0" borderId="0" xfId="2" applyAlignment="1" applyProtection="1">
      <alignment horizontal="right" vertical="center" textRotation="90"/>
      <protection hidden="1"/>
    </xf>
    <xf numFmtId="0" fontId="17" fillId="3" borderId="7" xfId="2" applyFont="1" applyFill="1" applyBorder="1" applyProtection="1">
      <protection hidden="1"/>
    </xf>
    <xf numFmtId="0" fontId="17" fillId="3" borderId="0" xfId="2" applyFont="1" applyFill="1" applyAlignment="1" applyProtection="1">
      <alignment horizontal="center"/>
      <protection hidden="1"/>
    </xf>
    <xf numFmtId="0" fontId="17" fillId="3" borderId="0" xfId="2" applyFont="1" applyFill="1" applyProtection="1">
      <protection hidden="1"/>
    </xf>
    <xf numFmtId="0" fontId="12" fillId="0" borderId="0" xfId="2" applyAlignment="1" applyProtection="1">
      <alignment horizontal="center" vertical="center" textRotation="90"/>
      <protection hidden="1"/>
    </xf>
    <xf numFmtId="0" fontId="12" fillId="2" borderId="0" xfId="2" applyFill="1" applyAlignment="1" applyProtection="1">
      <alignment horizontal="center"/>
      <protection locked="0"/>
    </xf>
    <xf numFmtId="0" fontId="12" fillId="0" borderId="0" xfId="2" applyAlignment="1" applyProtection="1">
      <alignment horizontal="right"/>
      <protection hidden="1"/>
    </xf>
    <xf numFmtId="0" fontId="35" fillId="3" borderId="0" xfId="2" applyFont="1" applyFill="1" applyAlignment="1" applyProtection="1">
      <alignment horizontal="center" vertical="center"/>
      <protection hidden="1"/>
    </xf>
    <xf numFmtId="0" fontId="64" fillId="3" borderId="0" xfId="2" applyFont="1" applyFill="1" applyAlignment="1" applyProtection="1">
      <alignment horizontal="center" vertical="center"/>
      <protection hidden="1"/>
    </xf>
    <xf numFmtId="2" fontId="8" fillId="0" borderId="1" xfId="0" applyNumberFormat="1" applyFont="1" applyBorder="1" applyAlignment="1" applyProtection="1">
      <alignment horizontal="center"/>
      <protection hidden="1"/>
    </xf>
    <xf numFmtId="0" fontId="10" fillId="0" borderId="1" xfId="0" applyFont="1" applyBorder="1" applyAlignment="1">
      <alignment horizontal="center"/>
    </xf>
    <xf numFmtId="0" fontId="11" fillId="0" borderId="0" xfId="1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Protection="1"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164" fontId="2" fillId="0" borderId="0" xfId="0" applyNumberFormat="1" applyFont="1" applyAlignment="1" applyProtection="1">
      <alignment horizontal="left"/>
      <protection hidden="1"/>
    </xf>
    <xf numFmtId="0" fontId="0" fillId="0" borderId="0" xfId="0" applyAlignment="1">
      <alignment horizontal="left"/>
    </xf>
    <xf numFmtId="164" fontId="4" fillId="0" borderId="0" xfId="0" applyNumberFormat="1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7" fillId="0" borderId="0" xfId="2" applyFont="1" applyAlignment="1" applyProtection="1">
      <protection hidden="1"/>
    </xf>
  </cellXfs>
  <cellStyles count="4">
    <cellStyle name="Link" xfId="1" builtinId="8"/>
    <cellStyle name="Link 2" xfId="3" xr:uid="{3D928BE3-1C89-424E-A821-CB4F8DD21DDD}"/>
    <cellStyle name="Standard" xfId="0" builtinId="0"/>
    <cellStyle name="Standard 2" xfId="2" xr:uid="{1CEE0B55-15C6-4ED5-B965-C6D8CE47C8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086040332959571E-2"/>
          <c:y val="7.0754716981132074E-2"/>
          <c:w val="0.86651679435272289"/>
          <c:h val="0.77830188679245282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numFmt formatCode="0.0;[Red]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'Einfeldträger 01'!$AA$103:$AA$128</c:f>
              <c:numCache>
                <c:formatCode>0.0</c:formatCode>
                <c:ptCount val="26"/>
                <c:pt idx="0">
                  <c:v>0</c:v>
                </c:pt>
                <c:pt idx="1">
                  <c:v>0.14285714285714285</c:v>
                </c:pt>
                <c:pt idx="2">
                  <c:v>0.2857142857142857</c:v>
                </c:pt>
                <c:pt idx="3">
                  <c:v>0.42857142857142855</c:v>
                </c:pt>
                <c:pt idx="4">
                  <c:v>0.5714285714285714</c:v>
                </c:pt>
                <c:pt idx="5">
                  <c:v>0.7142857142857143</c:v>
                </c:pt>
                <c:pt idx="6">
                  <c:v>0.8571428571428571</c:v>
                </c:pt>
                <c:pt idx="7">
                  <c:v>1</c:v>
                </c:pt>
                <c:pt idx="8">
                  <c:v>1</c:v>
                </c:pt>
                <c:pt idx="9">
                  <c:v>1.3571428571428572</c:v>
                </c:pt>
                <c:pt idx="10">
                  <c:v>1.7142857142857142</c:v>
                </c:pt>
                <c:pt idx="11">
                  <c:v>2.0714285714285712</c:v>
                </c:pt>
                <c:pt idx="12">
                  <c:v>2.4285714285714284</c:v>
                </c:pt>
                <c:pt idx="13">
                  <c:v>2.7857142857142856</c:v>
                </c:pt>
                <c:pt idx="14">
                  <c:v>3.1428571428571428</c:v>
                </c:pt>
                <c:pt idx="15">
                  <c:v>3.5</c:v>
                </c:pt>
                <c:pt idx="16">
                  <c:v>3.5</c:v>
                </c:pt>
                <c:pt idx="17">
                  <c:v>3.8571428571428572</c:v>
                </c:pt>
                <c:pt idx="18">
                  <c:v>4.2142857142857144</c:v>
                </c:pt>
                <c:pt idx="19">
                  <c:v>4.5714285714285712</c:v>
                </c:pt>
                <c:pt idx="20">
                  <c:v>4.9285714285714288</c:v>
                </c:pt>
                <c:pt idx="21">
                  <c:v>5.2857142857142856</c:v>
                </c:pt>
                <c:pt idx="22">
                  <c:v>5.6428571428571423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</c:numCache>
            </c:numRef>
          </c:xVal>
          <c:yVal>
            <c:numRef>
              <c:f>'Einfeldträger 01'!$AB$103:$AB$128</c:f>
              <c:numCache>
                <c:formatCode>General</c:formatCode>
                <c:ptCount val="26"/>
                <c:pt idx="0">
                  <c:v>0</c:v>
                </c:pt>
                <c:pt idx="1">
                  <c:v>0.15306122448979589</c:v>
                </c:pt>
                <c:pt idx="2">
                  <c:v>0.61224489795918358</c:v>
                </c:pt>
                <c:pt idx="3">
                  <c:v>1.3775510204081631</c:v>
                </c:pt>
                <c:pt idx="4">
                  <c:v>2.4489795918367343</c:v>
                </c:pt>
                <c:pt idx="5">
                  <c:v>3.8265306122448979</c:v>
                </c:pt>
                <c:pt idx="6">
                  <c:v>5.5102040816326525</c:v>
                </c:pt>
                <c:pt idx="7">
                  <c:v>7.5</c:v>
                </c:pt>
                <c:pt idx="8">
                  <c:v>7.5</c:v>
                </c:pt>
                <c:pt idx="9">
                  <c:v>-9.4005102040816357</c:v>
                </c:pt>
                <c:pt idx="10">
                  <c:v>-24.387755102040813</c:v>
                </c:pt>
                <c:pt idx="11">
                  <c:v>-37.461734693877538</c:v>
                </c:pt>
                <c:pt idx="12">
                  <c:v>-48.62244897959183</c:v>
                </c:pt>
                <c:pt idx="13">
                  <c:v>-57.869897959183675</c:v>
                </c:pt>
                <c:pt idx="14">
                  <c:v>-65.204081632653057</c:v>
                </c:pt>
                <c:pt idx="15">
                  <c:v>-70.625</c:v>
                </c:pt>
                <c:pt idx="16">
                  <c:v>-70.625</c:v>
                </c:pt>
                <c:pt idx="17">
                  <c:v>-65.204081632653057</c:v>
                </c:pt>
                <c:pt idx="18">
                  <c:v>-57.869897959183675</c:v>
                </c:pt>
                <c:pt idx="19">
                  <c:v>-48.622448979591837</c:v>
                </c:pt>
                <c:pt idx="20">
                  <c:v>-37.461734693877531</c:v>
                </c:pt>
                <c:pt idx="21">
                  <c:v>-24.387755102040813</c:v>
                </c:pt>
                <c:pt idx="22">
                  <c:v>-9.4005102040816837</c:v>
                </c:pt>
                <c:pt idx="23">
                  <c:v>7.5</c:v>
                </c:pt>
                <c:pt idx="24" formatCode="0.0">
                  <c:v>7.5</c:v>
                </c:pt>
                <c:pt idx="25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02-4889-9BB9-E645B521E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8635999"/>
        <c:axId val="1"/>
      </c:scatterChart>
      <c:valAx>
        <c:axId val="1688635999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numFmt formatCode="0;[Red]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8863599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13170040029067E-2"/>
          <c:y val="0.14881527274867548"/>
          <c:w val="0.8620193996013803"/>
          <c:h val="0.7083606982836953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numFmt formatCode="0.0;[Red]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'Einfeldträger 01'!$AD$103:$AD$111</c:f>
              <c:numCache>
                <c:formatCode>0.0</c:formatCode>
                <c:ptCount val="9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3.5</c:v>
                </c:pt>
                <c:pt idx="4">
                  <c:v>3.5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</c:numCache>
            </c:numRef>
          </c:xVal>
          <c:yVal>
            <c:numRef>
              <c:f>'Einfeldträger 01'!$AE$103:$AE$111</c:f>
              <c:numCache>
                <c:formatCode>0.0</c:formatCode>
                <c:ptCount val="9"/>
                <c:pt idx="0">
                  <c:v>0</c:v>
                </c:pt>
                <c:pt idx="1">
                  <c:v>-15</c:v>
                </c:pt>
                <c:pt idx="2">
                  <c:v>50</c:v>
                </c:pt>
                <c:pt idx="3">
                  <c:v>12.5</c:v>
                </c:pt>
                <c:pt idx="4">
                  <c:v>-12.5</c:v>
                </c:pt>
                <c:pt idx="5">
                  <c:v>-50</c:v>
                </c:pt>
                <c:pt idx="6">
                  <c:v>15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B8-4FBB-BD9E-E4FB510E2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8630591"/>
        <c:axId val="1"/>
      </c:scatterChart>
      <c:valAx>
        <c:axId val="1688630591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numFmt formatCode="0;[Red]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88630591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2410297165247E-2"/>
          <c:y val="0.14970552309580495"/>
          <c:w val="0.86232992797760122"/>
          <c:h val="0.70661006901219936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numFmt formatCode="0.0;[Red]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'Einfeldträger 01'!$AG$103:$AG$109</c:f>
              <c:numCache>
                <c:formatCode>0.0</c:formatCode>
                <c:ptCount val="7"/>
                <c:pt idx="0" formatCode="General">
                  <c:v>0</c:v>
                </c:pt>
                <c:pt idx="1">
                  <c:v>3.5</c:v>
                </c:pt>
                <c:pt idx="2">
                  <c:v>3.5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</c:numCache>
            </c:numRef>
          </c:xVal>
          <c:yVal>
            <c:numRef>
              <c:f>'Einfeldträger 01'!$AH$103:$AH$109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-1.531435568635775E-15</c:v>
                </c:pt>
                <c:pt idx="3">
                  <c:v>-1.531435568635775E-15</c:v>
                </c:pt>
                <c:pt idx="4">
                  <c:v>-60</c:v>
                </c:pt>
                <c:pt idx="5">
                  <c:v>-60</c:v>
                </c:pt>
                <c:pt idx="6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08-401B-A375-EB6379F3B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7797663"/>
        <c:axId val="1"/>
      </c:scatterChart>
      <c:valAx>
        <c:axId val="1637797663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numFmt formatCode="0;[Red]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37797663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de-AT" sz="900">
                <a:latin typeface="Arial Narrow" panose="020B0606020202030204" pitchFamily="34" charset="0"/>
              </a:rPr>
              <a:t>V-Linie</a:t>
            </a:r>
            <a:r>
              <a:rPr lang="de-AT" sz="900" baseline="0">
                <a:latin typeface="Arial Narrow" panose="020B0606020202030204" pitchFamily="34" charset="0"/>
              </a:rPr>
              <a:t> kN</a:t>
            </a:r>
            <a:endParaRPr lang="de-AT" sz="900"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40560661534314718"/>
          <c:y val="8.29476927127110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5F-44D4-B5CE-DE201BB7284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5F-44D4-B5CE-DE201BB7284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5F-44D4-B5CE-DE201BB728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'2FeldTräger'!$AB$18:$AB$26</c:f>
              <c:numCache>
                <c:formatCode>0.00</c:formatCode>
                <c:ptCount val="9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5.95</c:v>
                </c:pt>
                <c:pt idx="4">
                  <c:v>5.95</c:v>
                </c:pt>
                <c:pt idx="5">
                  <c:v>12.8</c:v>
                </c:pt>
                <c:pt idx="6">
                  <c:v>12.8</c:v>
                </c:pt>
                <c:pt idx="7">
                  <c:v>12.8</c:v>
                </c:pt>
                <c:pt idx="8" formatCode="General">
                  <c:v>0</c:v>
                </c:pt>
              </c:numCache>
            </c:numRef>
          </c:xVal>
          <c:yVal>
            <c:numRef>
              <c:f>'2FeldTräger'!$AC$18:$AC$26</c:f>
              <c:numCache>
                <c:formatCode>0.00</c:formatCode>
                <c:ptCount val="9"/>
                <c:pt idx="0" formatCode="General">
                  <c:v>0</c:v>
                </c:pt>
                <c:pt idx="1">
                  <c:v>0</c:v>
                </c:pt>
                <c:pt idx="2">
                  <c:v>-8.4139875495461869</c:v>
                </c:pt>
                <c:pt idx="3">
                  <c:v>-8.4139875495461869</c:v>
                </c:pt>
                <c:pt idx="4">
                  <c:v>61.935537634277352</c:v>
                </c:pt>
                <c:pt idx="5">
                  <c:v>-47.318537365722662</c:v>
                </c:pt>
                <c:pt idx="6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85F-44D4-B5CE-DE201BB72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6096624"/>
        <c:axId val="816099120"/>
      </c:scatterChart>
      <c:valAx>
        <c:axId val="81609662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816099120"/>
        <c:crosses val="autoZero"/>
        <c:crossBetween val="midCat"/>
      </c:valAx>
      <c:valAx>
        <c:axId val="81609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de-DE"/>
          </a:p>
        </c:txPr>
        <c:crossAx val="816096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de-AT" sz="900">
                <a:latin typeface="Arial Narrow" panose="020B0606020202030204" pitchFamily="34" charset="0"/>
              </a:rPr>
              <a:t>M-Linie kNm</a:t>
            </a:r>
          </a:p>
        </c:rich>
      </c:tx>
      <c:layout>
        <c:manualLayout>
          <c:xMode val="edge"/>
          <c:yMode val="edge"/>
          <c:x val="0.40098583965131751"/>
          <c:y val="1.638613819110497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6816032657035586E-2"/>
          <c:y val="9.6155773647516957E-2"/>
          <c:w val="0.92578801014914758"/>
          <c:h val="0.87532674158239177"/>
        </c:manualLayout>
      </c:layout>
      <c:scatterChart>
        <c:scatterStyle val="lineMarker"/>
        <c:varyColors val="0"/>
        <c:ser>
          <c:idx val="0"/>
          <c:order val="0"/>
          <c:tx>
            <c:v>MLinie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'2FeldTräger'!$AD$18:$AD$62</c:f>
              <c:numCache>
                <c:formatCode>General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0.59500000000000008</c:v>
                </c:pt>
                <c:pt idx="13" formatCode="0.00">
                  <c:v>1.1900000000000002</c:v>
                </c:pt>
                <c:pt idx="14" formatCode="0.00">
                  <c:v>1.7849999999999999</c:v>
                </c:pt>
                <c:pt idx="15" formatCode="0.00">
                  <c:v>2.3800000000000003</c:v>
                </c:pt>
                <c:pt idx="16" formatCode="0.00">
                  <c:v>2.9750000000000001</c:v>
                </c:pt>
                <c:pt idx="17" formatCode="0.00">
                  <c:v>3.57</c:v>
                </c:pt>
                <c:pt idx="18" formatCode="0.00">
                  <c:v>4.165</c:v>
                </c:pt>
                <c:pt idx="19" formatCode="0.00">
                  <c:v>4.7600000000000007</c:v>
                </c:pt>
                <c:pt idx="20" formatCode="0.00">
                  <c:v>5.3550000000000004</c:v>
                </c:pt>
                <c:pt idx="21" formatCode="0.00">
                  <c:v>5.95</c:v>
                </c:pt>
                <c:pt idx="22" formatCode="0.00">
                  <c:v>5.95</c:v>
                </c:pt>
                <c:pt idx="23" formatCode="0.00">
                  <c:v>6.6349999999999998</c:v>
                </c:pt>
                <c:pt idx="24" formatCode="0.00">
                  <c:v>7.32</c:v>
                </c:pt>
                <c:pt idx="25" formatCode="0.00">
                  <c:v>8.0050000000000008</c:v>
                </c:pt>
                <c:pt idx="26" formatCode="0.00">
                  <c:v>8.6900000000000013</c:v>
                </c:pt>
                <c:pt idx="27" formatCode="0.00">
                  <c:v>9.375</c:v>
                </c:pt>
                <c:pt idx="28" formatCode="0.00">
                  <c:v>10.06</c:v>
                </c:pt>
                <c:pt idx="29" formatCode="0.00">
                  <c:v>10.745000000000001</c:v>
                </c:pt>
                <c:pt idx="30" formatCode="0.00">
                  <c:v>11.43</c:v>
                </c:pt>
                <c:pt idx="31" formatCode="0.00">
                  <c:v>12.115000000000002</c:v>
                </c:pt>
                <c:pt idx="32" formatCode="0.00">
                  <c:v>12.8</c:v>
                </c:pt>
                <c:pt idx="33" formatCode="0.00">
                  <c:v>12.8</c:v>
                </c:pt>
                <c:pt idx="34" formatCode="0.00">
                  <c:v>12.8</c:v>
                </c:pt>
                <c:pt idx="35" formatCode="0.00">
                  <c:v>12.8</c:v>
                </c:pt>
                <c:pt idx="36" formatCode="0.00">
                  <c:v>12.8</c:v>
                </c:pt>
                <c:pt idx="37" formatCode="0.00">
                  <c:v>12.8</c:v>
                </c:pt>
                <c:pt idx="38" formatCode="0.00">
                  <c:v>12.8</c:v>
                </c:pt>
                <c:pt idx="39" formatCode="0.00">
                  <c:v>12.8</c:v>
                </c:pt>
                <c:pt idx="40" formatCode="0.00">
                  <c:v>12.8</c:v>
                </c:pt>
                <c:pt idx="41" formatCode="0.00">
                  <c:v>12.8</c:v>
                </c:pt>
                <c:pt idx="42" formatCode="0.00">
                  <c:v>12.8</c:v>
                </c:pt>
                <c:pt idx="43" formatCode="0.00">
                  <c:v>12.8</c:v>
                </c:pt>
                <c:pt idx="44">
                  <c:v>0</c:v>
                </c:pt>
              </c:numCache>
            </c:numRef>
          </c:xVal>
          <c:yVal>
            <c:numRef>
              <c:f>'2FeldTräger'!$AE$18:$AE$62</c:f>
              <c:numCache>
                <c:formatCode>0.00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-5.0063225919799823</c:v>
                </c:pt>
                <c:pt idx="13">
                  <c:v>-10.012645183959965</c:v>
                </c:pt>
                <c:pt idx="14">
                  <c:v>-15.018967775939943</c:v>
                </c:pt>
                <c:pt idx="15">
                  <c:v>-20.025290367919929</c:v>
                </c:pt>
                <c:pt idx="16">
                  <c:v>-25.031612959899906</c:v>
                </c:pt>
                <c:pt idx="17">
                  <c:v>-30.037935551879887</c:v>
                </c:pt>
                <c:pt idx="18">
                  <c:v>-35.044258143859871</c:v>
                </c:pt>
                <c:pt idx="19">
                  <c:v>-40.050580735839858</c:v>
                </c:pt>
                <c:pt idx="20">
                  <c:v>-45.056903327819832</c:v>
                </c:pt>
                <c:pt idx="21">
                  <c:v>-50.063225919799812</c:v>
                </c:pt>
                <c:pt idx="22">
                  <c:v>-50.063225919799812</c:v>
                </c:pt>
                <c:pt idx="23">
                  <c:v>-11.379334709069823</c:v>
                </c:pt>
                <c:pt idx="24">
                  <c:v>19.820652364160168</c:v>
                </c:pt>
                <c:pt idx="25">
                  <c:v>43.536735299890154</c:v>
                </c:pt>
                <c:pt idx="26">
                  <c:v>59.768914098120149</c:v>
                </c:pt>
                <c:pt idx="27">
                  <c:v>68.517188758850153</c:v>
                </c:pt>
                <c:pt idx="28">
                  <c:v>69.78155928208011</c:v>
                </c:pt>
                <c:pt idx="29">
                  <c:v>63.562025667810133</c:v>
                </c:pt>
                <c:pt idx="30">
                  <c:v>49.858587916040051</c:v>
                </c:pt>
                <c:pt idx="31">
                  <c:v>28.671246026770007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DF-4D7B-A5A2-06E1C298388C}"/>
            </c:ext>
          </c:extLst>
        </c:ser>
        <c:ser>
          <c:idx val="1"/>
          <c:order val="1"/>
          <c:tx>
            <c:v>MaWert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'2FeldTräger'!$AD$28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'2FeldTräger'!$AE$28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DF-4D7B-A5A2-06E1C298388C}"/>
            </c:ext>
          </c:extLst>
        </c:ser>
        <c:ser>
          <c:idx val="2"/>
          <c:order val="2"/>
          <c:tx>
            <c:v>MbWert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'2FeldTräger'!$AD$39</c:f>
              <c:numCache>
                <c:formatCode>0.00</c:formatCode>
                <c:ptCount val="1"/>
                <c:pt idx="0">
                  <c:v>5.95</c:v>
                </c:pt>
              </c:numCache>
            </c:numRef>
          </c:xVal>
          <c:yVal>
            <c:numRef>
              <c:f>'2FeldTräger'!$AE$39</c:f>
              <c:numCache>
                <c:formatCode>0.00</c:formatCode>
                <c:ptCount val="1"/>
                <c:pt idx="0">
                  <c:v>-50.063225919799812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BDF-4D7B-A5A2-06E1C298388C}"/>
            </c:ext>
          </c:extLst>
        </c:ser>
        <c:ser>
          <c:idx val="3"/>
          <c:order val="3"/>
          <c:tx>
            <c:v>max Feld 1</c:v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DF-4D7B-A5A2-06E1C29838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'2FeldTräger'!$AD$65:$AD$66</c:f>
              <c:numCache>
                <c:formatCode>0.000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'2FeldTräger'!$AE$65:$AE$66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BDF-4D7B-A5A2-06E1C298388C}"/>
            </c:ext>
          </c:extLst>
        </c:ser>
        <c:ser>
          <c:idx val="4"/>
          <c:order val="4"/>
          <c:tx>
            <c:v>max Feld 2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DF-4D7B-A5A2-06E1C29838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'2FeldTräger'!$AD$69:$AD$70</c:f>
              <c:numCache>
                <c:formatCode>0.000</c:formatCode>
                <c:ptCount val="2"/>
                <c:pt idx="0">
                  <c:v>9.8332275390625004</c:v>
                </c:pt>
                <c:pt idx="1">
                  <c:v>9.8332275390625004</c:v>
                </c:pt>
              </c:numCache>
            </c:numRef>
          </c:xVal>
          <c:yVal>
            <c:numRef>
              <c:f>'2FeldTräger'!$AE$69:$AE$70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70.191666774234051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BDF-4D7B-A5A2-06E1C298388C}"/>
            </c:ext>
          </c:extLst>
        </c:ser>
        <c:ser>
          <c:idx val="5"/>
          <c:order val="5"/>
          <c:tx>
            <c:v>LinieMst1</c:v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'2FeldTräger'!$AD$63:$AD$64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'2FeldTräger'!$AE$63:$AE$64</c:f>
              <c:numCache>
                <c:formatCode>0.000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BDF-4D7B-A5A2-06E1C298388C}"/>
            </c:ext>
          </c:extLst>
        </c:ser>
        <c:ser>
          <c:idx val="6"/>
          <c:order val="6"/>
          <c:tx>
            <c:v>LinieMf2</c:v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DF-4D7B-A5A2-06E1C298388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BDF-4D7B-A5A2-06E1C29838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'2FeldTräger'!$AD$71:$AD$72</c:f>
              <c:numCache>
                <c:formatCode>0.00</c:formatCode>
                <c:ptCount val="2"/>
                <c:pt idx="0">
                  <c:v>12.8</c:v>
                </c:pt>
                <c:pt idx="1">
                  <c:v>12.8</c:v>
                </c:pt>
              </c:numCache>
            </c:numRef>
          </c:xVal>
          <c:yVal>
            <c:numRef>
              <c:f>'2FeldTräger'!$AE$71:$AE$72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BDF-4D7B-A5A2-06E1C298388C}"/>
            </c:ext>
          </c:extLst>
        </c:ser>
        <c:ser>
          <c:idx val="7"/>
          <c:order val="7"/>
          <c:tx>
            <c:v>LinieMSt2</c:v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'2FeldTräger'!$AD$67:$AD$68</c:f>
              <c:numCache>
                <c:formatCode>0.00</c:formatCode>
                <c:ptCount val="2"/>
                <c:pt idx="0">
                  <c:v>5.95</c:v>
                </c:pt>
                <c:pt idx="1">
                  <c:v>5.95</c:v>
                </c:pt>
              </c:numCache>
            </c:numRef>
          </c:xVal>
          <c:yVal>
            <c:numRef>
              <c:f>'2FeldTräger'!$AE$67:$AE$68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-50.063225919799812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BDF-4D7B-A5A2-06E1C298388C}"/>
            </c:ext>
          </c:extLst>
        </c:ser>
        <c:ser>
          <c:idx val="8"/>
          <c:order val="8"/>
          <c:tx>
            <c:v>LinieMst2neu</c:v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'2FeldTräger'!$AD$69:$AD$70</c:f>
              <c:numCache>
                <c:formatCode>0.000</c:formatCode>
                <c:ptCount val="2"/>
                <c:pt idx="0">
                  <c:v>9.8332275390625004</c:v>
                </c:pt>
                <c:pt idx="1">
                  <c:v>9.8332275390625004</c:v>
                </c:pt>
              </c:numCache>
            </c:numRef>
          </c:xVal>
          <c:yVal>
            <c:numRef>
              <c:f>'2FeldTräger'!$AE$69:$AE$70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70.191666774234051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BDF-4D7B-A5A2-06E1C2983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041584"/>
        <c:axId val="806043664"/>
      </c:scatterChart>
      <c:valAx>
        <c:axId val="80604158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806043664"/>
        <c:crosses val="autoZero"/>
        <c:crossBetween val="midCat"/>
      </c:valAx>
      <c:valAx>
        <c:axId val="80604366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de-DE"/>
          </a:p>
        </c:txPr>
        <c:crossAx val="806041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Einfeldtr&#228;ger 01'!Druckbereich"/><Relationship Id="rId2" Type="http://schemas.openxmlformats.org/officeDocument/2006/relationships/image" Target="../media/image1.jpeg"/><Relationship Id="rId1" Type="http://schemas.openxmlformats.org/officeDocument/2006/relationships/hyperlink" Target="http://www.statikklasse.at/" TargetMode="External"/><Relationship Id="rId6" Type="http://schemas.openxmlformats.org/officeDocument/2006/relationships/hyperlink" Target="#'2FeldTr&#228;ger'!A1"/><Relationship Id="rId5" Type="http://schemas.openxmlformats.org/officeDocument/2006/relationships/hyperlink" Target="#'Schwerpunkt 01'!Druckbereich"/><Relationship Id="rId4" Type="http://schemas.openxmlformats.org/officeDocument/2006/relationships/hyperlink" Target="#Lastaufstellung!Druckbereich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2266950</xdr:colOff>
      <xdr:row>0</xdr:row>
      <xdr:rowOff>57150</xdr:rowOff>
    </xdr:from>
    <xdr:to>
      <xdr:col>5</xdr:col>
      <xdr:colOff>3381375</xdr:colOff>
      <xdr:row>3</xdr:row>
      <xdr:rowOff>390525</xdr:rowOff>
    </xdr:to>
    <xdr:pic>
      <xdr:nvPicPr>
        <xdr:cNvPr id="2" name="Picture 1" descr="statikklasseLogo3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423F1A-5501-4775-8706-92B77C892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57150"/>
          <a:ext cx="11144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40821</xdr:colOff>
      <xdr:row>8</xdr:row>
      <xdr:rowOff>40821</xdr:rowOff>
    </xdr:from>
    <xdr:to>
      <xdr:col>2</xdr:col>
      <xdr:colOff>3358414</xdr:colOff>
      <xdr:row>10</xdr:row>
      <xdr:rowOff>231322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B13A288C-EC38-45D2-9EE1-FAD1B9483FCF}"/>
            </a:ext>
          </a:extLst>
        </xdr:cNvPr>
        <xdr:cNvSpPr/>
      </xdr:nvSpPr>
      <xdr:spPr>
        <a:xfrm>
          <a:off x="297996" y="2231571"/>
          <a:ext cx="4089118" cy="70485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  <xdr:twoCellAnchor>
    <xdr:from>
      <xdr:col>1</xdr:col>
      <xdr:colOff>43542</xdr:colOff>
      <xdr:row>11</xdr:row>
      <xdr:rowOff>43543</xdr:rowOff>
    </xdr:from>
    <xdr:to>
      <xdr:col>2</xdr:col>
      <xdr:colOff>3360964</xdr:colOff>
      <xdr:row>13</xdr:row>
      <xdr:rowOff>234043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A47AA9EB-6BA8-46EC-B1CC-255D9F1E9042}"/>
            </a:ext>
          </a:extLst>
        </xdr:cNvPr>
        <xdr:cNvSpPr/>
      </xdr:nvSpPr>
      <xdr:spPr>
        <a:xfrm>
          <a:off x="300717" y="3005818"/>
          <a:ext cx="4088947" cy="7048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  <xdr:twoCellAnchor>
    <xdr:from>
      <xdr:col>1</xdr:col>
      <xdr:colOff>46262</xdr:colOff>
      <xdr:row>14</xdr:row>
      <xdr:rowOff>46265</xdr:rowOff>
    </xdr:from>
    <xdr:to>
      <xdr:col>2</xdr:col>
      <xdr:colOff>3363855</xdr:colOff>
      <xdr:row>16</xdr:row>
      <xdr:rowOff>236765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DBAF041F-9AB9-4B68-BE97-177984D2CAAF}"/>
            </a:ext>
          </a:extLst>
        </xdr:cNvPr>
        <xdr:cNvSpPr/>
      </xdr:nvSpPr>
      <xdr:spPr>
        <a:xfrm>
          <a:off x="303437" y="3780065"/>
          <a:ext cx="4089118" cy="7048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  <xdr:twoCellAnchor>
    <xdr:from>
      <xdr:col>1</xdr:col>
      <xdr:colOff>46262</xdr:colOff>
      <xdr:row>14</xdr:row>
      <xdr:rowOff>46265</xdr:rowOff>
    </xdr:from>
    <xdr:to>
      <xdr:col>2</xdr:col>
      <xdr:colOff>3363855</xdr:colOff>
      <xdr:row>16</xdr:row>
      <xdr:rowOff>236765</xdr:rowOff>
    </xdr:to>
    <xdr:sp macro="" textlink="">
      <xdr:nvSpPr>
        <xdr:cNvPr id="6" name="Rechteck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F68612-5B03-411A-AD1E-820C8602EB4B}"/>
            </a:ext>
          </a:extLst>
        </xdr:cNvPr>
        <xdr:cNvSpPr/>
      </xdr:nvSpPr>
      <xdr:spPr>
        <a:xfrm>
          <a:off x="303437" y="3780065"/>
          <a:ext cx="4089118" cy="7048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  <xdr:twoCellAnchor>
    <xdr:from>
      <xdr:col>1</xdr:col>
      <xdr:colOff>32656</xdr:colOff>
      <xdr:row>17</xdr:row>
      <xdr:rowOff>46264</xdr:rowOff>
    </xdr:from>
    <xdr:to>
      <xdr:col>2</xdr:col>
      <xdr:colOff>3350249</xdr:colOff>
      <xdr:row>19</xdr:row>
      <xdr:rowOff>236765</xdr:rowOff>
    </xdr:to>
    <xdr:sp macro="" textlink="">
      <xdr:nvSpPr>
        <xdr:cNvPr id="7" name="Rechteck 6">
          <a:extLst>
            <a:ext uri="{FF2B5EF4-FFF2-40B4-BE49-F238E27FC236}">
              <a16:creationId xmlns:a16="http://schemas.microsoft.com/office/drawing/2014/main" id="{C8B6E0D4-1C23-4698-BF33-3750A659C9B3}"/>
            </a:ext>
          </a:extLst>
        </xdr:cNvPr>
        <xdr:cNvSpPr/>
      </xdr:nvSpPr>
      <xdr:spPr>
        <a:xfrm>
          <a:off x="289831" y="4551589"/>
          <a:ext cx="4089118" cy="70485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  <xdr:twoCellAnchor>
    <xdr:from>
      <xdr:col>1</xdr:col>
      <xdr:colOff>21770</xdr:colOff>
      <xdr:row>20</xdr:row>
      <xdr:rowOff>35380</xdr:rowOff>
    </xdr:from>
    <xdr:to>
      <xdr:col>2</xdr:col>
      <xdr:colOff>3339363</xdr:colOff>
      <xdr:row>22</xdr:row>
      <xdr:rowOff>225881</xdr:rowOff>
    </xdr:to>
    <xdr:sp macro="" textlink="">
      <xdr:nvSpPr>
        <xdr:cNvPr id="8" name="Rechteck 7">
          <a:extLst>
            <a:ext uri="{FF2B5EF4-FFF2-40B4-BE49-F238E27FC236}">
              <a16:creationId xmlns:a16="http://schemas.microsoft.com/office/drawing/2014/main" id="{02565FF8-3C5E-4CFE-B692-31A524EF7C93}"/>
            </a:ext>
          </a:extLst>
        </xdr:cNvPr>
        <xdr:cNvSpPr/>
      </xdr:nvSpPr>
      <xdr:spPr>
        <a:xfrm>
          <a:off x="278945" y="5312230"/>
          <a:ext cx="4089118" cy="70485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  <xdr:twoCellAnchor>
    <xdr:from>
      <xdr:col>1</xdr:col>
      <xdr:colOff>21770</xdr:colOff>
      <xdr:row>23</xdr:row>
      <xdr:rowOff>35380</xdr:rowOff>
    </xdr:from>
    <xdr:to>
      <xdr:col>2</xdr:col>
      <xdr:colOff>3339363</xdr:colOff>
      <xdr:row>25</xdr:row>
      <xdr:rowOff>225881</xdr:rowOff>
    </xdr:to>
    <xdr:sp macro="" textlink="">
      <xdr:nvSpPr>
        <xdr:cNvPr id="9" name="Rechteck 8">
          <a:extLst>
            <a:ext uri="{FF2B5EF4-FFF2-40B4-BE49-F238E27FC236}">
              <a16:creationId xmlns:a16="http://schemas.microsoft.com/office/drawing/2014/main" id="{CC15CE8A-3AB9-4CE2-AD00-8CA6606F2DD6}"/>
            </a:ext>
          </a:extLst>
        </xdr:cNvPr>
        <xdr:cNvSpPr/>
      </xdr:nvSpPr>
      <xdr:spPr>
        <a:xfrm>
          <a:off x="278945" y="6083755"/>
          <a:ext cx="4089118" cy="70485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  <xdr:twoCellAnchor>
    <xdr:from>
      <xdr:col>1</xdr:col>
      <xdr:colOff>24491</xdr:colOff>
      <xdr:row>26</xdr:row>
      <xdr:rowOff>38102</xdr:rowOff>
    </xdr:from>
    <xdr:to>
      <xdr:col>2</xdr:col>
      <xdr:colOff>3342084</xdr:colOff>
      <xdr:row>28</xdr:row>
      <xdr:rowOff>228602</xdr:rowOff>
    </xdr:to>
    <xdr:sp macro="" textlink="">
      <xdr:nvSpPr>
        <xdr:cNvPr id="10" name="Rechteck 9">
          <a:extLst>
            <a:ext uri="{FF2B5EF4-FFF2-40B4-BE49-F238E27FC236}">
              <a16:creationId xmlns:a16="http://schemas.microsoft.com/office/drawing/2014/main" id="{8C1B89C2-784D-430A-AA3C-11935CAA3FA1}"/>
            </a:ext>
          </a:extLst>
        </xdr:cNvPr>
        <xdr:cNvSpPr/>
      </xdr:nvSpPr>
      <xdr:spPr>
        <a:xfrm>
          <a:off x="281666" y="6858002"/>
          <a:ext cx="4089118" cy="7048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  <xdr:twoCellAnchor>
    <xdr:from>
      <xdr:col>1</xdr:col>
      <xdr:colOff>24492</xdr:colOff>
      <xdr:row>29</xdr:row>
      <xdr:rowOff>38102</xdr:rowOff>
    </xdr:from>
    <xdr:to>
      <xdr:col>2</xdr:col>
      <xdr:colOff>3342085</xdr:colOff>
      <xdr:row>31</xdr:row>
      <xdr:rowOff>228602</xdr:rowOff>
    </xdr:to>
    <xdr:sp macro="" textlink="">
      <xdr:nvSpPr>
        <xdr:cNvPr id="11" name="Rechteck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1BBC77-15AA-4274-9E4B-7F42D7B9822B}"/>
            </a:ext>
          </a:extLst>
        </xdr:cNvPr>
        <xdr:cNvSpPr/>
      </xdr:nvSpPr>
      <xdr:spPr>
        <a:xfrm>
          <a:off x="281667" y="7629527"/>
          <a:ext cx="4089118" cy="7048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  <xdr:twoCellAnchor>
    <xdr:from>
      <xdr:col>1</xdr:col>
      <xdr:colOff>27213</xdr:colOff>
      <xdr:row>32</xdr:row>
      <xdr:rowOff>40824</xdr:rowOff>
    </xdr:from>
    <xdr:to>
      <xdr:col>2</xdr:col>
      <xdr:colOff>3344806</xdr:colOff>
      <xdr:row>34</xdr:row>
      <xdr:rowOff>231324</xdr:rowOff>
    </xdr:to>
    <xdr:sp macro="" textlink="">
      <xdr:nvSpPr>
        <xdr:cNvPr id="12" name="Rechteck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F5C5E0-E633-461C-B336-96E564657049}"/>
            </a:ext>
          </a:extLst>
        </xdr:cNvPr>
        <xdr:cNvSpPr/>
      </xdr:nvSpPr>
      <xdr:spPr>
        <a:xfrm>
          <a:off x="284388" y="8403774"/>
          <a:ext cx="4089118" cy="7048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  <xdr:twoCellAnchor>
    <xdr:from>
      <xdr:col>4</xdr:col>
      <xdr:colOff>59869</xdr:colOff>
      <xdr:row>8</xdr:row>
      <xdr:rowOff>46264</xdr:rowOff>
    </xdr:from>
    <xdr:to>
      <xdr:col>5</xdr:col>
      <xdr:colOff>3377462</xdr:colOff>
      <xdr:row>10</xdr:row>
      <xdr:rowOff>236765</xdr:rowOff>
    </xdr:to>
    <xdr:sp macro="" textlink="">
      <xdr:nvSpPr>
        <xdr:cNvPr id="13" name="Rechteck 12">
          <a:extLst>
            <a:ext uri="{FF2B5EF4-FFF2-40B4-BE49-F238E27FC236}">
              <a16:creationId xmlns:a16="http://schemas.microsoft.com/office/drawing/2014/main" id="{11F7AA2D-0F57-43CF-9FBA-07619A4C34BC}"/>
            </a:ext>
          </a:extLst>
        </xdr:cNvPr>
        <xdr:cNvSpPr/>
      </xdr:nvSpPr>
      <xdr:spPr>
        <a:xfrm>
          <a:off x="4850944" y="2237014"/>
          <a:ext cx="4089118" cy="70485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  <xdr:twoCellAnchor>
    <xdr:from>
      <xdr:col>4</xdr:col>
      <xdr:colOff>48983</xdr:colOff>
      <xdr:row>11</xdr:row>
      <xdr:rowOff>35379</xdr:rowOff>
    </xdr:from>
    <xdr:to>
      <xdr:col>5</xdr:col>
      <xdr:colOff>3366576</xdr:colOff>
      <xdr:row>13</xdr:row>
      <xdr:rowOff>225879</xdr:rowOff>
    </xdr:to>
    <xdr:sp macro="" textlink="">
      <xdr:nvSpPr>
        <xdr:cNvPr id="14" name="Rechteck 13">
          <a:extLst>
            <a:ext uri="{FF2B5EF4-FFF2-40B4-BE49-F238E27FC236}">
              <a16:creationId xmlns:a16="http://schemas.microsoft.com/office/drawing/2014/main" id="{B5CD0815-018F-4B3F-9E3C-B32F9304A26A}"/>
            </a:ext>
          </a:extLst>
        </xdr:cNvPr>
        <xdr:cNvSpPr/>
      </xdr:nvSpPr>
      <xdr:spPr>
        <a:xfrm>
          <a:off x="4840058" y="2997654"/>
          <a:ext cx="4089118" cy="7048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  <xdr:twoCellAnchor>
    <xdr:from>
      <xdr:col>4</xdr:col>
      <xdr:colOff>48983</xdr:colOff>
      <xdr:row>14</xdr:row>
      <xdr:rowOff>35379</xdr:rowOff>
    </xdr:from>
    <xdr:to>
      <xdr:col>5</xdr:col>
      <xdr:colOff>3366576</xdr:colOff>
      <xdr:row>16</xdr:row>
      <xdr:rowOff>225879</xdr:rowOff>
    </xdr:to>
    <xdr:sp macro="" textlink="">
      <xdr:nvSpPr>
        <xdr:cNvPr id="15" name="Rechteck 14">
          <a:extLst>
            <a:ext uri="{FF2B5EF4-FFF2-40B4-BE49-F238E27FC236}">
              <a16:creationId xmlns:a16="http://schemas.microsoft.com/office/drawing/2014/main" id="{FA445BB1-E752-4A4E-A23C-9E5A6157B962}"/>
            </a:ext>
          </a:extLst>
        </xdr:cNvPr>
        <xdr:cNvSpPr/>
      </xdr:nvSpPr>
      <xdr:spPr>
        <a:xfrm>
          <a:off x="4840058" y="3769179"/>
          <a:ext cx="4089118" cy="7048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  <xdr:twoCellAnchor>
    <xdr:from>
      <xdr:col>4</xdr:col>
      <xdr:colOff>51704</xdr:colOff>
      <xdr:row>17</xdr:row>
      <xdr:rowOff>38101</xdr:rowOff>
    </xdr:from>
    <xdr:to>
      <xdr:col>5</xdr:col>
      <xdr:colOff>3369297</xdr:colOff>
      <xdr:row>19</xdr:row>
      <xdr:rowOff>228601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3A15B9D9-BF1F-4347-82CA-554BF50E6692}"/>
            </a:ext>
          </a:extLst>
        </xdr:cNvPr>
        <xdr:cNvSpPr/>
      </xdr:nvSpPr>
      <xdr:spPr>
        <a:xfrm>
          <a:off x="4842779" y="4543426"/>
          <a:ext cx="4089118" cy="7048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  <xdr:twoCellAnchor>
    <xdr:from>
      <xdr:col>4</xdr:col>
      <xdr:colOff>35376</xdr:colOff>
      <xdr:row>29</xdr:row>
      <xdr:rowOff>35378</xdr:rowOff>
    </xdr:from>
    <xdr:to>
      <xdr:col>5</xdr:col>
      <xdr:colOff>3352969</xdr:colOff>
      <xdr:row>31</xdr:row>
      <xdr:rowOff>225879</xdr:rowOff>
    </xdr:to>
    <xdr:sp macro="" textlink="">
      <xdr:nvSpPr>
        <xdr:cNvPr id="17" name="Rechteck 16">
          <a:extLst>
            <a:ext uri="{FF2B5EF4-FFF2-40B4-BE49-F238E27FC236}">
              <a16:creationId xmlns:a16="http://schemas.microsoft.com/office/drawing/2014/main" id="{45A0367E-3020-4D2F-952E-B12F5673F6D1}"/>
            </a:ext>
          </a:extLst>
        </xdr:cNvPr>
        <xdr:cNvSpPr/>
      </xdr:nvSpPr>
      <xdr:spPr>
        <a:xfrm>
          <a:off x="4826451" y="7626803"/>
          <a:ext cx="4089118" cy="70485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  <xdr:twoCellAnchor>
    <xdr:from>
      <xdr:col>4</xdr:col>
      <xdr:colOff>38097</xdr:colOff>
      <xdr:row>32</xdr:row>
      <xdr:rowOff>38100</xdr:rowOff>
    </xdr:from>
    <xdr:to>
      <xdr:col>5</xdr:col>
      <xdr:colOff>3355690</xdr:colOff>
      <xdr:row>34</xdr:row>
      <xdr:rowOff>228600</xdr:rowOff>
    </xdr:to>
    <xdr:sp macro="" textlink="">
      <xdr:nvSpPr>
        <xdr:cNvPr id="18" name="Rechteck 17">
          <a:extLst>
            <a:ext uri="{FF2B5EF4-FFF2-40B4-BE49-F238E27FC236}">
              <a16:creationId xmlns:a16="http://schemas.microsoft.com/office/drawing/2014/main" id="{0CEE1F7F-2F27-4970-AA15-CCBF222458C2}"/>
            </a:ext>
          </a:extLst>
        </xdr:cNvPr>
        <xdr:cNvSpPr/>
      </xdr:nvSpPr>
      <xdr:spPr>
        <a:xfrm>
          <a:off x="4829172" y="8401050"/>
          <a:ext cx="4089118" cy="7048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  <xdr:twoCellAnchor>
    <xdr:from>
      <xdr:col>4</xdr:col>
      <xdr:colOff>51705</xdr:colOff>
      <xdr:row>20</xdr:row>
      <xdr:rowOff>38099</xdr:rowOff>
    </xdr:from>
    <xdr:to>
      <xdr:col>5</xdr:col>
      <xdr:colOff>3369298</xdr:colOff>
      <xdr:row>22</xdr:row>
      <xdr:rowOff>228600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2E2E10E2-253D-4330-8382-D5309E87D4CE}"/>
            </a:ext>
          </a:extLst>
        </xdr:cNvPr>
        <xdr:cNvSpPr/>
      </xdr:nvSpPr>
      <xdr:spPr>
        <a:xfrm>
          <a:off x="4842780" y="5314949"/>
          <a:ext cx="4089118" cy="70485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  <xdr:twoCellAnchor>
    <xdr:from>
      <xdr:col>4</xdr:col>
      <xdr:colOff>54426</xdr:colOff>
      <xdr:row>23</xdr:row>
      <xdr:rowOff>40821</xdr:rowOff>
    </xdr:from>
    <xdr:to>
      <xdr:col>5</xdr:col>
      <xdr:colOff>3372019</xdr:colOff>
      <xdr:row>25</xdr:row>
      <xdr:rowOff>231322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DBD05DE9-F134-4376-8992-3AF1E2D45F95}"/>
            </a:ext>
          </a:extLst>
        </xdr:cNvPr>
        <xdr:cNvSpPr/>
      </xdr:nvSpPr>
      <xdr:spPr>
        <a:xfrm>
          <a:off x="4845501" y="6089196"/>
          <a:ext cx="4089118" cy="70485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  <xdr:twoCellAnchor>
    <xdr:from>
      <xdr:col>4</xdr:col>
      <xdr:colOff>54426</xdr:colOff>
      <xdr:row>26</xdr:row>
      <xdr:rowOff>40821</xdr:rowOff>
    </xdr:from>
    <xdr:to>
      <xdr:col>5</xdr:col>
      <xdr:colOff>3372019</xdr:colOff>
      <xdr:row>28</xdr:row>
      <xdr:rowOff>231321</xdr:rowOff>
    </xdr:to>
    <xdr:sp macro="" textlink="">
      <xdr:nvSpPr>
        <xdr:cNvPr id="21" name="Rechteck 20">
          <a:extLst>
            <a:ext uri="{FF2B5EF4-FFF2-40B4-BE49-F238E27FC236}">
              <a16:creationId xmlns:a16="http://schemas.microsoft.com/office/drawing/2014/main" id="{BF1DEBC9-AF8A-4A34-A676-0FAF1FE596F6}"/>
            </a:ext>
          </a:extLst>
        </xdr:cNvPr>
        <xdr:cNvSpPr/>
      </xdr:nvSpPr>
      <xdr:spPr>
        <a:xfrm>
          <a:off x="4845501" y="6860721"/>
          <a:ext cx="4089118" cy="7048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  <xdr:twoCellAnchor>
    <xdr:from>
      <xdr:col>4</xdr:col>
      <xdr:colOff>38097</xdr:colOff>
      <xdr:row>35</xdr:row>
      <xdr:rowOff>38100</xdr:rowOff>
    </xdr:from>
    <xdr:to>
      <xdr:col>5</xdr:col>
      <xdr:colOff>3355690</xdr:colOff>
      <xdr:row>37</xdr:row>
      <xdr:rowOff>228600</xdr:rowOff>
    </xdr:to>
    <xdr:sp macro="" textlink="">
      <xdr:nvSpPr>
        <xdr:cNvPr id="22" name="Rechteck 2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404945-77BC-468E-A9E6-EBF1164A3550}"/>
            </a:ext>
          </a:extLst>
        </xdr:cNvPr>
        <xdr:cNvSpPr/>
      </xdr:nvSpPr>
      <xdr:spPr>
        <a:xfrm>
          <a:off x="4827811" y="8447314"/>
          <a:ext cx="4093200" cy="70757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  <xdr:twoCellAnchor>
    <xdr:from>
      <xdr:col>4</xdr:col>
      <xdr:colOff>38097</xdr:colOff>
      <xdr:row>38</xdr:row>
      <xdr:rowOff>38100</xdr:rowOff>
    </xdr:from>
    <xdr:to>
      <xdr:col>5</xdr:col>
      <xdr:colOff>3355690</xdr:colOff>
      <xdr:row>40</xdr:row>
      <xdr:rowOff>228600</xdr:rowOff>
    </xdr:to>
    <xdr:sp macro="" textlink="">
      <xdr:nvSpPr>
        <xdr:cNvPr id="23" name="Rechteck 22">
          <a:extLst>
            <a:ext uri="{FF2B5EF4-FFF2-40B4-BE49-F238E27FC236}">
              <a16:creationId xmlns:a16="http://schemas.microsoft.com/office/drawing/2014/main" id="{638ECD4B-8B35-4049-B970-D2A1E5ACFED3}"/>
            </a:ext>
          </a:extLst>
        </xdr:cNvPr>
        <xdr:cNvSpPr/>
      </xdr:nvSpPr>
      <xdr:spPr>
        <a:xfrm>
          <a:off x="4827811" y="8447314"/>
          <a:ext cx="4093200" cy="70757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  <xdr:twoCellAnchor>
    <xdr:from>
      <xdr:col>1</xdr:col>
      <xdr:colOff>54429</xdr:colOff>
      <xdr:row>36</xdr:row>
      <xdr:rowOff>40821</xdr:rowOff>
    </xdr:from>
    <xdr:to>
      <xdr:col>2</xdr:col>
      <xdr:colOff>3347358</xdr:colOff>
      <xdr:row>40</xdr:row>
      <xdr:rowOff>217713</xdr:rowOff>
    </xdr:to>
    <xdr:sp macro="" textlink="">
      <xdr:nvSpPr>
        <xdr:cNvPr id="24" name="Rechteck 23">
          <a:extLst>
            <a:ext uri="{FF2B5EF4-FFF2-40B4-BE49-F238E27FC236}">
              <a16:creationId xmlns:a16="http://schemas.microsoft.com/office/drawing/2014/main" id="{FE134A58-2CBC-449D-B1BC-894757B318DE}"/>
            </a:ext>
          </a:extLst>
        </xdr:cNvPr>
        <xdr:cNvSpPr/>
      </xdr:nvSpPr>
      <xdr:spPr>
        <a:xfrm>
          <a:off x="312965" y="9484178"/>
          <a:ext cx="4068536" cy="121103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16</xdr:row>
      <xdr:rowOff>0</xdr:rowOff>
    </xdr:from>
    <xdr:to>
      <xdr:col>16</xdr:col>
      <xdr:colOff>9525</xdr:colOff>
      <xdr:row>16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4DE26A64-2F07-462A-AAE6-A68EBCC5FAF5}"/>
            </a:ext>
          </a:extLst>
        </xdr:cNvPr>
        <xdr:cNvSpPr>
          <a:spLocks noChangeShapeType="1"/>
        </xdr:cNvSpPr>
      </xdr:nvSpPr>
      <xdr:spPr bwMode="auto">
        <a:xfrm>
          <a:off x="1000125" y="2638425"/>
          <a:ext cx="29718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209550</xdr:colOff>
      <xdr:row>16</xdr:row>
      <xdr:rowOff>9525</xdr:rowOff>
    </xdr:from>
    <xdr:to>
      <xdr:col>6</xdr:col>
      <xdr:colOff>57150</xdr:colOff>
      <xdr:row>16</xdr:row>
      <xdr:rowOff>95250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F45352B9-D438-4AE1-9309-1727CC7F0144}"/>
            </a:ext>
          </a:extLst>
        </xdr:cNvPr>
        <xdr:cNvSpPr>
          <a:spLocks noChangeArrowheads="1"/>
        </xdr:cNvSpPr>
      </xdr:nvSpPr>
      <xdr:spPr bwMode="auto">
        <a:xfrm>
          <a:off x="1447800" y="2647950"/>
          <a:ext cx="95250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16</xdr:row>
      <xdr:rowOff>123825</xdr:rowOff>
    </xdr:from>
    <xdr:to>
      <xdr:col>6</xdr:col>
      <xdr:colOff>85725</xdr:colOff>
      <xdr:row>16</xdr:row>
      <xdr:rowOff>123825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64799ADC-661E-4B2C-9CBE-9789AC834645}"/>
            </a:ext>
          </a:extLst>
        </xdr:cNvPr>
        <xdr:cNvSpPr>
          <a:spLocks noChangeShapeType="1"/>
        </xdr:cNvSpPr>
      </xdr:nvSpPr>
      <xdr:spPr bwMode="auto">
        <a:xfrm>
          <a:off x="1409700" y="276225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209550</xdr:colOff>
      <xdr:row>16</xdr:row>
      <xdr:rowOff>9525</xdr:rowOff>
    </xdr:from>
    <xdr:to>
      <xdr:col>13</xdr:col>
      <xdr:colOff>57150</xdr:colOff>
      <xdr:row>16</xdr:row>
      <xdr:rowOff>95250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22DFE9EC-FEDD-45C2-BCEA-F03555590BFC}"/>
            </a:ext>
          </a:extLst>
        </xdr:cNvPr>
        <xdr:cNvSpPr>
          <a:spLocks noChangeArrowheads="1"/>
        </xdr:cNvSpPr>
      </xdr:nvSpPr>
      <xdr:spPr bwMode="auto">
        <a:xfrm>
          <a:off x="3181350" y="2647950"/>
          <a:ext cx="95250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6</xdr:col>
      <xdr:colOff>0</xdr:colOff>
      <xdr:row>15</xdr:row>
      <xdr:rowOff>123825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C27379AD-27B0-4995-8A9C-21036E067536}"/>
            </a:ext>
          </a:extLst>
        </xdr:cNvPr>
        <xdr:cNvSpPr>
          <a:spLocks noChangeArrowheads="1"/>
        </xdr:cNvSpPr>
      </xdr:nvSpPr>
      <xdr:spPr bwMode="auto">
        <a:xfrm>
          <a:off x="1000125" y="2476500"/>
          <a:ext cx="4857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9525</xdr:colOff>
      <xdr:row>14</xdr:row>
      <xdr:rowOff>9525</xdr:rowOff>
    </xdr:from>
    <xdr:to>
      <xdr:col>16</xdr:col>
      <xdr:colOff>0</xdr:colOff>
      <xdr:row>15</xdr:row>
      <xdr:rowOff>123825</xdr:rowOff>
    </xdr:to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C5F175E9-4006-4A66-BAFE-36EBC0D0F039}"/>
            </a:ext>
          </a:extLst>
        </xdr:cNvPr>
        <xdr:cNvSpPr>
          <a:spLocks noChangeArrowheads="1"/>
        </xdr:cNvSpPr>
      </xdr:nvSpPr>
      <xdr:spPr bwMode="auto">
        <a:xfrm>
          <a:off x="1495425" y="2324100"/>
          <a:ext cx="2466975" cy="2762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247650</xdr:colOff>
      <xdr:row>13</xdr:row>
      <xdr:rowOff>28575</xdr:rowOff>
    </xdr:from>
    <xdr:to>
      <xdr:col>17</xdr:col>
      <xdr:colOff>95250</xdr:colOff>
      <xdr:row>15</xdr:row>
      <xdr:rowOff>123825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E71013AF-8085-47D0-8E90-60D1D181E66A}"/>
            </a:ext>
          </a:extLst>
        </xdr:cNvPr>
        <xdr:cNvSpPr>
          <a:spLocks noChangeShapeType="1"/>
        </xdr:cNvSpPr>
      </xdr:nvSpPr>
      <xdr:spPr bwMode="auto">
        <a:xfrm flipH="1">
          <a:off x="3962400" y="2181225"/>
          <a:ext cx="342900" cy="4191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19</xdr:row>
      <xdr:rowOff>9525</xdr:rowOff>
    </xdr:from>
    <xdr:to>
      <xdr:col>16</xdr:col>
      <xdr:colOff>85725</xdr:colOff>
      <xdr:row>19</xdr:row>
      <xdr:rowOff>9525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2F1863B6-1DB6-4A4C-9F46-11396D28DB6E}"/>
            </a:ext>
          </a:extLst>
        </xdr:cNvPr>
        <xdr:cNvSpPr>
          <a:spLocks noChangeShapeType="1"/>
        </xdr:cNvSpPr>
      </xdr:nvSpPr>
      <xdr:spPr bwMode="auto">
        <a:xfrm>
          <a:off x="885825" y="3152775"/>
          <a:ext cx="3162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76200</xdr:rowOff>
    </xdr:from>
    <xdr:to>
      <xdr:col>6</xdr:col>
      <xdr:colOff>0</xdr:colOff>
      <xdr:row>21</xdr:row>
      <xdr:rowOff>114300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7D6DB61E-A3C3-4852-9C25-F61F63079F6A}"/>
            </a:ext>
          </a:extLst>
        </xdr:cNvPr>
        <xdr:cNvSpPr>
          <a:spLocks noChangeShapeType="1"/>
        </xdr:cNvSpPr>
      </xdr:nvSpPr>
      <xdr:spPr bwMode="auto">
        <a:xfrm>
          <a:off x="1485900" y="3057525"/>
          <a:ext cx="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85725</xdr:rowOff>
    </xdr:from>
    <xdr:to>
      <xdr:col>4</xdr:col>
      <xdr:colOff>0</xdr:colOff>
      <xdr:row>19</xdr:row>
      <xdr:rowOff>114300</xdr:rowOff>
    </xdr:to>
    <xdr:sp macro="" textlink="">
      <xdr:nvSpPr>
        <xdr:cNvPr id="11" name="Line 11">
          <a:extLst>
            <a:ext uri="{FF2B5EF4-FFF2-40B4-BE49-F238E27FC236}">
              <a16:creationId xmlns:a16="http://schemas.microsoft.com/office/drawing/2014/main" id="{B368508A-A5A5-418D-89CC-1D1E2C788516}"/>
            </a:ext>
          </a:extLst>
        </xdr:cNvPr>
        <xdr:cNvSpPr>
          <a:spLocks noChangeShapeType="1"/>
        </xdr:cNvSpPr>
      </xdr:nvSpPr>
      <xdr:spPr bwMode="auto">
        <a:xfrm>
          <a:off x="990600" y="306705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18</xdr:row>
      <xdr:rowOff>76200</xdr:rowOff>
    </xdr:from>
    <xdr:to>
      <xdr:col>13</xdr:col>
      <xdr:colOff>0</xdr:colOff>
      <xdr:row>19</xdr:row>
      <xdr:rowOff>104775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D5872DD1-9CD7-4FA8-90ED-1059AA6BBCD5}"/>
            </a:ext>
          </a:extLst>
        </xdr:cNvPr>
        <xdr:cNvSpPr>
          <a:spLocks noChangeShapeType="1"/>
        </xdr:cNvSpPr>
      </xdr:nvSpPr>
      <xdr:spPr bwMode="auto">
        <a:xfrm>
          <a:off x="3219450" y="3057525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18</xdr:row>
      <xdr:rowOff>66675</xdr:rowOff>
    </xdr:from>
    <xdr:to>
      <xdr:col>16</xdr:col>
      <xdr:colOff>0</xdr:colOff>
      <xdr:row>19</xdr:row>
      <xdr:rowOff>95250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24E5462F-1E27-4A13-813A-8B8E6305D4D9}"/>
            </a:ext>
          </a:extLst>
        </xdr:cNvPr>
        <xdr:cNvSpPr>
          <a:spLocks noChangeShapeType="1"/>
        </xdr:cNvSpPr>
      </xdr:nvSpPr>
      <xdr:spPr bwMode="auto">
        <a:xfrm>
          <a:off x="3962400" y="304800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219075</xdr:colOff>
      <xdr:row>14</xdr:row>
      <xdr:rowOff>9525</xdr:rowOff>
    </xdr:from>
    <xdr:to>
      <xdr:col>9</xdr:col>
      <xdr:colOff>219075</xdr:colOff>
      <xdr:row>15</xdr:row>
      <xdr:rowOff>114300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27E39920-78C6-40DC-AC65-562B0076ABF5}"/>
            </a:ext>
          </a:extLst>
        </xdr:cNvPr>
        <xdr:cNvSpPr>
          <a:spLocks noChangeShapeType="1"/>
        </xdr:cNvSpPr>
      </xdr:nvSpPr>
      <xdr:spPr bwMode="auto">
        <a:xfrm>
          <a:off x="2447925" y="2324100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57150</xdr:colOff>
      <xdr:row>14</xdr:row>
      <xdr:rowOff>9525</xdr:rowOff>
    </xdr:from>
    <xdr:to>
      <xdr:col>10</xdr:col>
      <xdr:colOff>57150</xdr:colOff>
      <xdr:row>15</xdr:row>
      <xdr:rowOff>114300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8C812FCA-6717-494F-BB02-91660D44E4B0}"/>
            </a:ext>
          </a:extLst>
        </xdr:cNvPr>
        <xdr:cNvSpPr>
          <a:spLocks noChangeShapeType="1"/>
        </xdr:cNvSpPr>
      </xdr:nvSpPr>
      <xdr:spPr bwMode="auto">
        <a:xfrm>
          <a:off x="2533650" y="2324100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200025</xdr:colOff>
      <xdr:row>15</xdr:row>
      <xdr:rowOff>0</xdr:rowOff>
    </xdr:from>
    <xdr:to>
      <xdr:col>4</xdr:col>
      <xdr:colOff>200025</xdr:colOff>
      <xdr:row>15</xdr:row>
      <xdr:rowOff>142875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CDF99F8D-82F5-490C-8166-083D3C7426E7}"/>
            </a:ext>
          </a:extLst>
        </xdr:cNvPr>
        <xdr:cNvSpPr>
          <a:spLocks noChangeShapeType="1"/>
        </xdr:cNvSpPr>
      </xdr:nvSpPr>
      <xdr:spPr bwMode="auto">
        <a:xfrm>
          <a:off x="1190625" y="2476500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15</xdr:row>
      <xdr:rowOff>0</xdr:rowOff>
    </xdr:from>
    <xdr:to>
      <xdr:col>5</xdr:col>
      <xdr:colOff>28575</xdr:colOff>
      <xdr:row>15</xdr:row>
      <xdr:rowOff>142875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436DBE0A-DA38-4BDA-94FF-9D9A7DBAEB7A}"/>
            </a:ext>
          </a:extLst>
        </xdr:cNvPr>
        <xdr:cNvSpPr>
          <a:spLocks noChangeShapeType="1"/>
        </xdr:cNvSpPr>
      </xdr:nvSpPr>
      <xdr:spPr bwMode="auto">
        <a:xfrm>
          <a:off x="1266825" y="2476500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104775</xdr:colOff>
      <xdr:row>13</xdr:row>
      <xdr:rowOff>9525</xdr:rowOff>
    </xdr:from>
    <xdr:to>
      <xdr:col>8</xdr:col>
      <xdr:colOff>9525</xdr:colOff>
      <xdr:row>15</xdr:row>
      <xdr:rowOff>123825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B6971AF9-15E5-4216-8695-A64E5A490B70}"/>
            </a:ext>
          </a:extLst>
        </xdr:cNvPr>
        <xdr:cNvSpPr>
          <a:spLocks noChangeShapeType="1"/>
        </xdr:cNvSpPr>
      </xdr:nvSpPr>
      <xdr:spPr bwMode="auto">
        <a:xfrm>
          <a:off x="1838325" y="2162175"/>
          <a:ext cx="152400" cy="43815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142875</xdr:colOff>
      <xdr:row>21</xdr:row>
      <xdr:rowOff>0</xdr:rowOff>
    </xdr:from>
    <xdr:to>
      <xdr:col>8</xdr:col>
      <xdr:colOff>95250</xdr:colOff>
      <xdr:row>21</xdr:row>
      <xdr:rowOff>0</xdr:rowOff>
    </xdr:to>
    <xdr:sp macro="" textlink="">
      <xdr:nvSpPr>
        <xdr:cNvPr id="19" name="Line 19">
          <a:extLst>
            <a:ext uri="{FF2B5EF4-FFF2-40B4-BE49-F238E27FC236}">
              <a16:creationId xmlns:a16="http://schemas.microsoft.com/office/drawing/2014/main" id="{F225C168-BED3-4E64-A4E4-7DA4B9A9AD57}"/>
            </a:ext>
          </a:extLst>
        </xdr:cNvPr>
        <xdr:cNvSpPr>
          <a:spLocks noChangeShapeType="1"/>
        </xdr:cNvSpPr>
      </xdr:nvSpPr>
      <xdr:spPr bwMode="auto">
        <a:xfrm>
          <a:off x="1381125" y="3467100"/>
          <a:ext cx="695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57150</xdr:rowOff>
    </xdr:from>
    <xdr:to>
      <xdr:col>8</xdr:col>
      <xdr:colOff>0</xdr:colOff>
      <xdr:row>21</xdr:row>
      <xdr:rowOff>114300</xdr:rowOff>
    </xdr:to>
    <xdr:sp macro="" textlink="">
      <xdr:nvSpPr>
        <xdr:cNvPr id="20" name="Line 21">
          <a:extLst>
            <a:ext uri="{FF2B5EF4-FFF2-40B4-BE49-F238E27FC236}">
              <a16:creationId xmlns:a16="http://schemas.microsoft.com/office/drawing/2014/main" id="{05F9F4BD-E504-41A9-8BD8-A299047AE3A4}"/>
            </a:ext>
          </a:extLst>
        </xdr:cNvPr>
        <xdr:cNvSpPr>
          <a:spLocks noChangeShapeType="1"/>
        </xdr:cNvSpPr>
      </xdr:nvSpPr>
      <xdr:spPr bwMode="auto">
        <a:xfrm>
          <a:off x="1981200" y="3362325"/>
          <a:ext cx="0" cy="219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244006</xdr:colOff>
      <xdr:row>16</xdr:row>
      <xdr:rowOff>146436</xdr:rowOff>
    </xdr:from>
    <xdr:to>
      <xdr:col>6</xdr:col>
      <xdr:colOff>0</xdr:colOff>
      <xdr:row>17</xdr:row>
      <xdr:rowOff>169745</xdr:rowOff>
    </xdr:to>
    <xdr:cxnSp macro="">
      <xdr:nvCxnSpPr>
        <xdr:cNvPr id="21" name="Gerade Verbindung mit Pfeil 20">
          <a:extLst>
            <a:ext uri="{FF2B5EF4-FFF2-40B4-BE49-F238E27FC236}">
              <a16:creationId xmlns:a16="http://schemas.microsoft.com/office/drawing/2014/main" id="{50197E4E-81D5-4F5C-A0E1-BB954867F0A7}"/>
            </a:ext>
          </a:extLst>
        </xdr:cNvPr>
        <xdr:cNvCxnSpPr/>
      </xdr:nvCxnSpPr>
      <xdr:spPr>
        <a:xfrm flipV="1">
          <a:off x="1482256" y="2784861"/>
          <a:ext cx="3644" cy="194759"/>
        </a:xfrm>
        <a:prstGeom prst="straightConnector1">
          <a:avLst/>
        </a:prstGeom>
        <a:ln>
          <a:solidFill>
            <a:srgbClr val="C0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166</xdr:colOff>
      <xdr:row>16</xdr:row>
      <xdr:rowOff>119766</xdr:rowOff>
    </xdr:from>
    <xdr:to>
      <xdr:col>13</xdr:col>
      <xdr:colOff>3810</xdr:colOff>
      <xdr:row>17</xdr:row>
      <xdr:rowOff>130130</xdr:rowOff>
    </xdr:to>
    <xdr:cxnSp macro="">
      <xdr:nvCxnSpPr>
        <xdr:cNvPr id="22" name="Gerade Verbindung mit Pfeil 21">
          <a:extLst>
            <a:ext uri="{FF2B5EF4-FFF2-40B4-BE49-F238E27FC236}">
              <a16:creationId xmlns:a16="http://schemas.microsoft.com/office/drawing/2014/main" id="{3656503F-3AAA-4861-80A6-26B93EF8B3ED}"/>
            </a:ext>
          </a:extLst>
        </xdr:cNvPr>
        <xdr:cNvCxnSpPr/>
      </xdr:nvCxnSpPr>
      <xdr:spPr>
        <a:xfrm flipV="1">
          <a:off x="3219616" y="2758191"/>
          <a:ext cx="3644" cy="181814"/>
        </a:xfrm>
        <a:prstGeom prst="straightConnector1">
          <a:avLst/>
        </a:prstGeom>
        <a:ln>
          <a:solidFill>
            <a:srgbClr val="C0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45720</xdr:colOff>
      <xdr:row>16</xdr:row>
      <xdr:rowOff>28326</xdr:rowOff>
    </xdr:from>
    <xdr:to>
      <xdr:col>12</xdr:col>
      <xdr:colOff>236220</xdr:colOff>
      <xdr:row>16</xdr:row>
      <xdr:rowOff>28326</xdr:rowOff>
    </xdr:to>
    <xdr:cxnSp macro="">
      <xdr:nvCxnSpPr>
        <xdr:cNvPr id="23" name="Gerade Verbindung mit Pfeil 22">
          <a:extLst>
            <a:ext uri="{FF2B5EF4-FFF2-40B4-BE49-F238E27FC236}">
              <a16:creationId xmlns:a16="http://schemas.microsoft.com/office/drawing/2014/main" id="{CE3EFD2E-7C87-4D81-99AC-2BE3A3446F19}"/>
            </a:ext>
          </a:extLst>
        </xdr:cNvPr>
        <xdr:cNvCxnSpPr/>
      </xdr:nvCxnSpPr>
      <xdr:spPr>
        <a:xfrm>
          <a:off x="3017520" y="2666751"/>
          <a:ext cx="190500" cy="0"/>
        </a:xfrm>
        <a:prstGeom prst="straightConnector1">
          <a:avLst/>
        </a:prstGeom>
        <a:ln>
          <a:solidFill>
            <a:srgbClr val="C0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9525</xdr:rowOff>
    </xdr:from>
    <xdr:to>
      <xdr:col>21</xdr:col>
      <xdr:colOff>19050</xdr:colOff>
      <xdr:row>23</xdr:row>
      <xdr:rowOff>9525</xdr:rowOff>
    </xdr:to>
    <xdr:sp macro="" textlink="">
      <xdr:nvSpPr>
        <xdr:cNvPr id="24" name="Rectangle 1837">
          <a:extLst>
            <a:ext uri="{FF2B5EF4-FFF2-40B4-BE49-F238E27FC236}">
              <a16:creationId xmlns:a16="http://schemas.microsoft.com/office/drawing/2014/main" id="{8C7B4490-4D3F-4AA8-8D8F-B57305C71A83}"/>
            </a:ext>
          </a:extLst>
        </xdr:cNvPr>
        <xdr:cNvSpPr>
          <a:spLocks noChangeArrowheads="1"/>
        </xdr:cNvSpPr>
      </xdr:nvSpPr>
      <xdr:spPr bwMode="auto">
        <a:xfrm>
          <a:off x="495300" y="1476375"/>
          <a:ext cx="4724400" cy="232410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118</xdr:row>
      <xdr:rowOff>57150</xdr:rowOff>
    </xdr:from>
    <xdr:to>
      <xdr:col>17</xdr:col>
      <xdr:colOff>0</xdr:colOff>
      <xdr:row>127</xdr:row>
      <xdr:rowOff>0</xdr:rowOff>
    </xdr:to>
    <xdr:graphicFrame macro="">
      <xdr:nvGraphicFramePr>
        <xdr:cNvPr id="25" name="Diagramm 1839">
          <a:extLst>
            <a:ext uri="{FF2B5EF4-FFF2-40B4-BE49-F238E27FC236}">
              <a16:creationId xmlns:a16="http://schemas.microsoft.com/office/drawing/2014/main" id="{F57F9345-9A20-4D50-84F2-F207E394D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109</xdr:row>
      <xdr:rowOff>152400</xdr:rowOff>
    </xdr:from>
    <xdr:to>
      <xdr:col>17</xdr:col>
      <xdr:colOff>0</xdr:colOff>
      <xdr:row>118</xdr:row>
      <xdr:rowOff>38100</xdr:rowOff>
    </xdr:to>
    <xdr:graphicFrame macro="">
      <xdr:nvGraphicFramePr>
        <xdr:cNvPr id="26" name="Diagramm 1840">
          <a:extLst>
            <a:ext uri="{FF2B5EF4-FFF2-40B4-BE49-F238E27FC236}">
              <a16:creationId xmlns:a16="http://schemas.microsoft.com/office/drawing/2014/main" id="{17611602-62EA-492F-AE4A-70789216D1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101</xdr:row>
      <xdr:rowOff>47625</xdr:rowOff>
    </xdr:from>
    <xdr:to>
      <xdr:col>17</xdr:col>
      <xdr:colOff>9525</xdr:colOff>
      <xdr:row>109</xdr:row>
      <xdr:rowOff>114300</xdr:rowOff>
    </xdr:to>
    <xdr:graphicFrame macro="">
      <xdr:nvGraphicFramePr>
        <xdr:cNvPr id="27" name="Diagramm 1841">
          <a:extLst>
            <a:ext uri="{FF2B5EF4-FFF2-40B4-BE49-F238E27FC236}">
              <a16:creationId xmlns:a16="http://schemas.microsoft.com/office/drawing/2014/main" id="{DD52A529-3331-40E3-BDA9-DC1D7DED1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76200</xdr:rowOff>
    </xdr:from>
    <xdr:to>
      <xdr:col>2</xdr:col>
      <xdr:colOff>114300</xdr:colOff>
      <xdr:row>4</xdr:row>
      <xdr:rowOff>0</xdr:rowOff>
    </xdr:to>
    <xdr:pic>
      <xdr:nvPicPr>
        <xdr:cNvPr id="28" name="Grafik 39">
          <a:extLst>
            <a:ext uri="{FF2B5EF4-FFF2-40B4-BE49-F238E27FC236}">
              <a16:creationId xmlns:a16="http://schemas.microsoft.com/office/drawing/2014/main" id="{DC2E4D4C-0041-4DFA-86B7-AC08184C8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552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34</xdr:row>
      <xdr:rowOff>95250</xdr:rowOff>
    </xdr:from>
    <xdr:to>
      <xdr:col>0</xdr:col>
      <xdr:colOff>466725</xdr:colOff>
      <xdr:row>37</xdr:row>
      <xdr:rowOff>19050</xdr:rowOff>
    </xdr:to>
    <xdr:sp macro="" textlink="">
      <xdr:nvSpPr>
        <xdr:cNvPr id="2" name="Rectangle 108">
          <a:extLst>
            <a:ext uri="{FF2B5EF4-FFF2-40B4-BE49-F238E27FC236}">
              <a16:creationId xmlns:a16="http://schemas.microsoft.com/office/drawing/2014/main" id="{9DC4DD32-C633-4F56-9E53-CB16647E6BDC}"/>
            </a:ext>
          </a:extLst>
        </xdr:cNvPr>
        <xdr:cNvSpPr>
          <a:spLocks noChangeArrowheads="1"/>
        </xdr:cNvSpPr>
      </xdr:nvSpPr>
      <xdr:spPr bwMode="auto">
        <a:xfrm>
          <a:off x="238125" y="5991225"/>
          <a:ext cx="22860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200025</xdr:colOff>
      <xdr:row>19</xdr:row>
      <xdr:rowOff>19050</xdr:rowOff>
    </xdr:from>
    <xdr:to>
      <xdr:col>7</xdr:col>
      <xdr:colOff>85725</xdr:colOff>
      <xdr:row>19</xdr:row>
      <xdr:rowOff>19050</xdr:rowOff>
    </xdr:to>
    <xdr:sp macro="" textlink="">
      <xdr:nvSpPr>
        <xdr:cNvPr id="3" name="Line 48">
          <a:extLst>
            <a:ext uri="{FF2B5EF4-FFF2-40B4-BE49-F238E27FC236}">
              <a16:creationId xmlns:a16="http://schemas.microsoft.com/office/drawing/2014/main" id="{2E5836E0-DD08-4AF9-A9A8-F0E278EDDDF1}"/>
            </a:ext>
          </a:extLst>
        </xdr:cNvPr>
        <xdr:cNvSpPr>
          <a:spLocks noChangeShapeType="1"/>
        </xdr:cNvSpPr>
      </xdr:nvSpPr>
      <xdr:spPr bwMode="auto">
        <a:xfrm>
          <a:off x="200025" y="3181350"/>
          <a:ext cx="1914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209550</xdr:colOff>
      <xdr:row>15</xdr:row>
      <xdr:rowOff>152400</xdr:rowOff>
    </xdr:from>
    <xdr:to>
      <xdr:col>7</xdr:col>
      <xdr:colOff>104775</xdr:colOff>
      <xdr:row>19</xdr:row>
      <xdr:rowOff>104775</xdr:rowOff>
    </xdr:to>
    <xdr:grpSp>
      <xdr:nvGrpSpPr>
        <xdr:cNvPr id="4" name="Group 85">
          <a:extLst>
            <a:ext uri="{FF2B5EF4-FFF2-40B4-BE49-F238E27FC236}">
              <a16:creationId xmlns:a16="http://schemas.microsoft.com/office/drawing/2014/main" id="{DA1DD2E2-D206-4290-B6B6-C44B636AC1D9}"/>
            </a:ext>
          </a:extLst>
        </xdr:cNvPr>
        <xdr:cNvGrpSpPr>
          <a:grpSpLocks/>
        </xdr:cNvGrpSpPr>
      </xdr:nvGrpSpPr>
      <xdr:grpSpPr bwMode="auto">
        <a:xfrm>
          <a:off x="209550" y="2647950"/>
          <a:ext cx="1924050" cy="619125"/>
          <a:chOff x="176" y="344"/>
          <a:chExt cx="211" cy="63"/>
        </a:xfrm>
      </xdr:grpSpPr>
      <xdr:sp macro="" textlink="">
        <xdr:nvSpPr>
          <xdr:cNvPr id="5" name="Line 49">
            <a:extLst>
              <a:ext uri="{FF2B5EF4-FFF2-40B4-BE49-F238E27FC236}">
                <a16:creationId xmlns:a16="http://schemas.microsoft.com/office/drawing/2014/main" id="{C1D34B6F-5002-4560-8D4F-D6FE4551C1A9}"/>
              </a:ext>
            </a:extLst>
          </xdr:cNvPr>
          <xdr:cNvSpPr>
            <a:spLocks noChangeShapeType="1"/>
          </xdr:cNvSpPr>
        </xdr:nvSpPr>
        <xdr:spPr bwMode="auto">
          <a:xfrm>
            <a:off x="176" y="402"/>
            <a:ext cx="2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0">
            <a:extLst>
              <a:ext uri="{FF2B5EF4-FFF2-40B4-BE49-F238E27FC236}">
                <a16:creationId xmlns:a16="http://schemas.microsoft.com/office/drawing/2014/main" id="{0A343459-B106-4387-BCA9-E53713B994E9}"/>
              </a:ext>
            </a:extLst>
          </xdr:cNvPr>
          <xdr:cNvSpPr>
            <a:spLocks noChangeShapeType="1"/>
          </xdr:cNvSpPr>
        </xdr:nvSpPr>
        <xdr:spPr bwMode="auto">
          <a:xfrm>
            <a:off x="176" y="407"/>
            <a:ext cx="2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52">
            <a:extLst>
              <a:ext uri="{FF2B5EF4-FFF2-40B4-BE49-F238E27FC236}">
                <a16:creationId xmlns:a16="http://schemas.microsoft.com/office/drawing/2014/main" id="{9B7974EC-16F9-41C6-AC67-904D37A1F347}"/>
              </a:ext>
            </a:extLst>
          </xdr:cNvPr>
          <xdr:cNvSpPr>
            <a:spLocks noChangeShapeType="1"/>
          </xdr:cNvSpPr>
        </xdr:nvSpPr>
        <xdr:spPr bwMode="auto">
          <a:xfrm>
            <a:off x="176" y="355"/>
            <a:ext cx="2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53">
            <a:extLst>
              <a:ext uri="{FF2B5EF4-FFF2-40B4-BE49-F238E27FC236}">
                <a16:creationId xmlns:a16="http://schemas.microsoft.com/office/drawing/2014/main" id="{4B6B9D40-0CB1-40C9-A5AE-944543B5D685}"/>
              </a:ext>
            </a:extLst>
          </xdr:cNvPr>
          <xdr:cNvSpPr>
            <a:spLocks noChangeShapeType="1"/>
          </xdr:cNvSpPr>
        </xdr:nvSpPr>
        <xdr:spPr bwMode="auto">
          <a:xfrm>
            <a:off x="176" y="348"/>
            <a:ext cx="2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54">
            <a:extLst>
              <a:ext uri="{FF2B5EF4-FFF2-40B4-BE49-F238E27FC236}">
                <a16:creationId xmlns:a16="http://schemas.microsoft.com/office/drawing/2014/main" id="{E830E516-A245-40B1-B262-A8EBFD2C7573}"/>
              </a:ext>
            </a:extLst>
          </xdr:cNvPr>
          <xdr:cNvSpPr>
            <a:spLocks noChangeShapeType="1"/>
          </xdr:cNvSpPr>
        </xdr:nvSpPr>
        <xdr:spPr bwMode="auto">
          <a:xfrm>
            <a:off x="176" y="344"/>
            <a:ext cx="2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114300</xdr:colOff>
      <xdr:row>17</xdr:row>
      <xdr:rowOff>9525</xdr:rowOff>
    </xdr:from>
    <xdr:to>
      <xdr:col>4</xdr:col>
      <xdr:colOff>190500</xdr:colOff>
      <xdr:row>19</xdr:row>
      <xdr:rowOff>19050</xdr:rowOff>
    </xdr:to>
    <xdr:sp macro="" textlink="">
      <xdr:nvSpPr>
        <xdr:cNvPr id="10" name="AutoShape 66">
          <a:extLst>
            <a:ext uri="{FF2B5EF4-FFF2-40B4-BE49-F238E27FC236}">
              <a16:creationId xmlns:a16="http://schemas.microsoft.com/office/drawing/2014/main" id="{44984802-71B8-4C28-AF3B-5A850E467257}"/>
            </a:ext>
          </a:extLst>
        </xdr:cNvPr>
        <xdr:cNvSpPr>
          <a:spLocks noChangeArrowheads="1"/>
        </xdr:cNvSpPr>
      </xdr:nvSpPr>
      <xdr:spPr bwMode="auto">
        <a:xfrm rot="-5400000">
          <a:off x="1138237" y="2843213"/>
          <a:ext cx="352425" cy="323850"/>
        </a:xfrm>
        <a:prstGeom prst="flowChartDelay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190500</xdr:colOff>
      <xdr:row>17</xdr:row>
      <xdr:rowOff>9525</xdr:rowOff>
    </xdr:from>
    <xdr:to>
      <xdr:col>6</xdr:col>
      <xdr:colOff>19050</xdr:colOff>
      <xdr:row>19</xdr:row>
      <xdr:rowOff>19050</xdr:rowOff>
    </xdr:to>
    <xdr:sp macro="" textlink="">
      <xdr:nvSpPr>
        <xdr:cNvPr id="11" name="AutoShape 67">
          <a:extLst>
            <a:ext uri="{FF2B5EF4-FFF2-40B4-BE49-F238E27FC236}">
              <a16:creationId xmlns:a16="http://schemas.microsoft.com/office/drawing/2014/main" id="{82969807-BB53-4076-AC04-F086CB8AB54E}"/>
            </a:ext>
          </a:extLst>
        </xdr:cNvPr>
        <xdr:cNvSpPr>
          <a:spLocks noChangeArrowheads="1"/>
        </xdr:cNvSpPr>
      </xdr:nvSpPr>
      <xdr:spPr bwMode="auto">
        <a:xfrm rot="-5400000">
          <a:off x="1462087" y="2843213"/>
          <a:ext cx="352425" cy="323850"/>
        </a:xfrm>
        <a:prstGeom prst="flowChartDelay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19050</xdr:colOff>
      <xdr:row>17</xdr:row>
      <xdr:rowOff>9525</xdr:rowOff>
    </xdr:from>
    <xdr:to>
      <xdr:col>7</xdr:col>
      <xdr:colOff>95250</xdr:colOff>
      <xdr:row>19</xdr:row>
      <xdr:rowOff>19050</xdr:rowOff>
    </xdr:to>
    <xdr:sp macro="" textlink="">
      <xdr:nvSpPr>
        <xdr:cNvPr id="12" name="AutoShape 68">
          <a:extLst>
            <a:ext uri="{FF2B5EF4-FFF2-40B4-BE49-F238E27FC236}">
              <a16:creationId xmlns:a16="http://schemas.microsoft.com/office/drawing/2014/main" id="{A1013657-C5F8-4358-A9C6-C5235A548021}"/>
            </a:ext>
          </a:extLst>
        </xdr:cNvPr>
        <xdr:cNvSpPr>
          <a:spLocks noChangeArrowheads="1"/>
        </xdr:cNvSpPr>
      </xdr:nvSpPr>
      <xdr:spPr bwMode="auto">
        <a:xfrm rot="-5400000">
          <a:off x="1785937" y="2843213"/>
          <a:ext cx="352425" cy="323850"/>
        </a:xfrm>
        <a:prstGeom prst="flowChartDelay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38100</xdr:colOff>
      <xdr:row>17</xdr:row>
      <xdr:rowOff>9525</xdr:rowOff>
    </xdr:from>
    <xdr:to>
      <xdr:col>3</xdr:col>
      <xdr:colOff>114300</xdr:colOff>
      <xdr:row>19</xdr:row>
      <xdr:rowOff>19050</xdr:rowOff>
    </xdr:to>
    <xdr:sp macro="" textlink="">
      <xdr:nvSpPr>
        <xdr:cNvPr id="13" name="AutoShape 72">
          <a:extLst>
            <a:ext uri="{FF2B5EF4-FFF2-40B4-BE49-F238E27FC236}">
              <a16:creationId xmlns:a16="http://schemas.microsoft.com/office/drawing/2014/main" id="{ACA3E457-5C10-4A82-9083-67EEB6FF42EB}"/>
            </a:ext>
          </a:extLst>
        </xdr:cNvPr>
        <xdr:cNvSpPr>
          <a:spLocks noChangeArrowheads="1"/>
        </xdr:cNvSpPr>
      </xdr:nvSpPr>
      <xdr:spPr bwMode="auto">
        <a:xfrm rot="-5400000">
          <a:off x="814387" y="2843213"/>
          <a:ext cx="352425" cy="323850"/>
        </a:xfrm>
        <a:prstGeom prst="flowChartDelay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361950</xdr:colOff>
      <xdr:row>9</xdr:row>
      <xdr:rowOff>85725</xdr:rowOff>
    </xdr:from>
    <xdr:to>
      <xdr:col>1</xdr:col>
      <xdr:colOff>9525</xdr:colOff>
      <xdr:row>9</xdr:row>
      <xdr:rowOff>85725</xdr:rowOff>
    </xdr:to>
    <xdr:sp macro="" textlink="">
      <xdr:nvSpPr>
        <xdr:cNvPr id="14" name="Line 76">
          <a:extLst>
            <a:ext uri="{FF2B5EF4-FFF2-40B4-BE49-F238E27FC236}">
              <a16:creationId xmlns:a16="http://schemas.microsoft.com/office/drawing/2014/main" id="{A289FD06-19BD-4F4F-A358-021892ABB506}"/>
            </a:ext>
          </a:extLst>
        </xdr:cNvPr>
        <xdr:cNvSpPr>
          <a:spLocks noChangeShapeType="1"/>
        </xdr:cNvSpPr>
      </xdr:nvSpPr>
      <xdr:spPr bwMode="auto">
        <a:xfrm>
          <a:off x="361950" y="15525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209550</xdr:colOff>
      <xdr:row>15</xdr:row>
      <xdr:rowOff>28575</xdr:rowOff>
    </xdr:from>
    <xdr:to>
      <xdr:col>0</xdr:col>
      <xdr:colOff>209550</xdr:colOff>
      <xdr:row>20</xdr:row>
      <xdr:rowOff>85725</xdr:rowOff>
    </xdr:to>
    <xdr:sp macro="" textlink="">
      <xdr:nvSpPr>
        <xdr:cNvPr id="15" name="Line 83">
          <a:extLst>
            <a:ext uri="{FF2B5EF4-FFF2-40B4-BE49-F238E27FC236}">
              <a16:creationId xmlns:a16="http://schemas.microsoft.com/office/drawing/2014/main" id="{A9F09646-BF8B-4667-A38E-CF65E83937DF}"/>
            </a:ext>
          </a:extLst>
        </xdr:cNvPr>
        <xdr:cNvSpPr>
          <a:spLocks noChangeShapeType="1"/>
        </xdr:cNvSpPr>
      </xdr:nvSpPr>
      <xdr:spPr bwMode="auto">
        <a:xfrm>
          <a:off x="209550" y="2524125"/>
          <a:ext cx="0" cy="885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95250</xdr:colOff>
      <xdr:row>15</xdr:row>
      <xdr:rowOff>0</xdr:rowOff>
    </xdr:from>
    <xdr:to>
      <xdr:col>7</xdr:col>
      <xdr:colOff>95250</xdr:colOff>
      <xdr:row>20</xdr:row>
      <xdr:rowOff>57150</xdr:rowOff>
    </xdr:to>
    <xdr:sp macro="" textlink="">
      <xdr:nvSpPr>
        <xdr:cNvPr id="16" name="Line 84">
          <a:extLst>
            <a:ext uri="{FF2B5EF4-FFF2-40B4-BE49-F238E27FC236}">
              <a16:creationId xmlns:a16="http://schemas.microsoft.com/office/drawing/2014/main" id="{60A816C1-2520-41C0-9E95-3F04C36D3448}"/>
            </a:ext>
          </a:extLst>
        </xdr:cNvPr>
        <xdr:cNvSpPr>
          <a:spLocks noChangeShapeType="1"/>
        </xdr:cNvSpPr>
      </xdr:nvSpPr>
      <xdr:spPr bwMode="auto">
        <a:xfrm>
          <a:off x="2124075" y="2495550"/>
          <a:ext cx="0" cy="885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95250</xdr:colOff>
      <xdr:row>37</xdr:row>
      <xdr:rowOff>19050</xdr:rowOff>
    </xdr:from>
    <xdr:to>
      <xdr:col>7</xdr:col>
      <xdr:colOff>171450</xdr:colOff>
      <xdr:row>37</xdr:row>
      <xdr:rowOff>19050</xdr:rowOff>
    </xdr:to>
    <xdr:sp macro="" textlink="">
      <xdr:nvSpPr>
        <xdr:cNvPr id="17" name="Line 86">
          <a:extLst>
            <a:ext uri="{FF2B5EF4-FFF2-40B4-BE49-F238E27FC236}">
              <a16:creationId xmlns:a16="http://schemas.microsoft.com/office/drawing/2014/main" id="{3346F3DD-93D2-487D-A07E-6906FF348577}"/>
            </a:ext>
          </a:extLst>
        </xdr:cNvPr>
        <xdr:cNvSpPr>
          <a:spLocks noChangeShapeType="1"/>
        </xdr:cNvSpPr>
      </xdr:nvSpPr>
      <xdr:spPr bwMode="auto">
        <a:xfrm>
          <a:off x="95250" y="6438900"/>
          <a:ext cx="2105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33</xdr:row>
      <xdr:rowOff>152400</xdr:rowOff>
    </xdr:from>
    <xdr:to>
      <xdr:col>7</xdr:col>
      <xdr:colOff>171450</xdr:colOff>
      <xdr:row>37</xdr:row>
      <xdr:rowOff>104775</xdr:rowOff>
    </xdr:to>
    <xdr:grpSp>
      <xdr:nvGrpSpPr>
        <xdr:cNvPr id="18" name="Group 87">
          <a:extLst>
            <a:ext uri="{FF2B5EF4-FFF2-40B4-BE49-F238E27FC236}">
              <a16:creationId xmlns:a16="http://schemas.microsoft.com/office/drawing/2014/main" id="{3FDACEF4-D095-440A-A66D-4579AE6069B9}"/>
            </a:ext>
          </a:extLst>
        </xdr:cNvPr>
        <xdr:cNvGrpSpPr>
          <a:grpSpLocks/>
        </xdr:cNvGrpSpPr>
      </xdr:nvGrpSpPr>
      <xdr:grpSpPr bwMode="auto">
        <a:xfrm>
          <a:off x="114300" y="5886450"/>
          <a:ext cx="2085975" cy="638175"/>
          <a:chOff x="176" y="344"/>
          <a:chExt cx="211" cy="63"/>
        </a:xfrm>
      </xdr:grpSpPr>
      <xdr:sp macro="" textlink="">
        <xdr:nvSpPr>
          <xdr:cNvPr id="19" name="Line 88">
            <a:extLst>
              <a:ext uri="{FF2B5EF4-FFF2-40B4-BE49-F238E27FC236}">
                <a16:creationId xmlns:a16="http://schemas.microsoft.com/office/drawing/2014/main" id="{C4668731-5EFC-43C2-AA47-37FDCCE42DE8}"/>
              </a:ext>
            </a:extLst>
          </xdr:cNvPr>
          <xdr:cNvSpPr>
            <a:spLocks noChangeShapeType="1"/>
          </xdr:cNvSpPr>
        </xdr:nvSpPr>
        <xdr:spPr bwMode="auto">
          <a:xfrm>
            <a:off x="176" y="402"/>
            <a:ext cx="2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89">
            <a:extLst>
              <a:ext uri="{FF2B5EF4-FFF2-40B4-BE49-F238E27FC236}">
                <a16:creationId xmlns:a16="http://schemas.microsoft.com/office/drawing/2014/main" id="{9D125908-1412-484A-988D-293C1006CE1E}"/>
              </a:ext>
            </a:extLst>
          </xdr:cNvPr>
          <xdr:cNvSpPr>
            <a:spLocks noChangeShapeType="1"/>
          </xdr:cNvSpPr>
        </xdr:nvSpPr>
        <xdr:spPr bwMode="auto">
          <a:xfrm>
            <a:off x="176" y="407"/>
            <a:ext cx="2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90">
            <a:extLst>
              <a:ext uri="{FF2B5EF4-FFF2-40B4-BE49-F238E27FC236}">
                <a16:creationId xmlns:a16="http://schemas.microsoft.com/office/drawing/2014/main" id="{7593C222-5A42-4457-B097-124EA2423C77}"/>
              </a:ext>
            </a:extLst>
          </xdr:cNvPr>
          <xdr:cNvSpPr>
            <a:spLocks noChangeShapeType="1"/>
          </xdr:cNvSpPr>
        </xdr:nvSpPr>
        <xdr:spPr bwMode="auto">
          <a:xfrm>
            <a:off x="176" y="355"/>
            <a:ext cx="2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91">
            <a:extLst>
              <a:ext uri="{FF2B5EF4-FFF2-40B4-BE49-F238E27FC236}">
                <a16:creationId xmlns:a16="http://schemas.microsoft.com/office/drawing/2014/main" id="{50F4AD28-811E-438D-8850-08BE84F19AA5}"/>
              </a:ext>
            </a:extLst>
          </xdr:cNvPr>
          <xdr:cNvSpPr>
            <a:spLocks noChangeShapeType="1"/>
          </xdr:cNvSpPr>
        </xdr:nvSpPr>
        <xdr:spPr bwMode="auto">
          <a:xfrm>
            <a:off x="176" y="348"/>
            <a:ext cx="2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92">
            <a:extLst>
              <a:ext uri="{FF2B5EF4-FFF2-40B4-BE49-F238E27FC236}">
                <a16:creationId xmlns:a16="http://schemas.microsoft.com/office/drawing/2014/main" id="{1967F951-87AC-4522-BC4E-76E78E8252A7}"/>
              </a:ext>
            </a:extLst>
          </xdr:cNvPr>
          <xdr:cNvSpPr>
            <a:spLocks noChangeShapeType="1"/>
          </xdr:cNvSpPr>
        </xdr:nvSpPr>
        <xdr:spPr bwMode="auto">
          <a:xfrm>
            <a:off x="176" y="344"/>
            <a:ext cx="2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342900</xdr:colOff>
      <xdr:row>23</xdr:row>
      <xdr:rowOff>85725</xdr:rowOff>
    </xdr:from>
    <xdr:to>
      <xdr:col>0</xdr:col>
      <xdr:colOff>342900</xdr:colOff>
      <xdr:row>38</xdr:row>
      <xdr:rowOff>47625</xdr:rowOff>
    </xdr:to>
    <xdr:sp macro="" textlink="">
      <xdr:nvSpPr>
        <xdr:cNvPr id="24" name="Line 99">
          <a:extLst>
            <a:ext uri="{FF2B5EF4-FFF2-40B4-BE49-F238E27FC236}">
              <a16:creationId xmlns:a16="http://schemas.microsoft.com/office/drawing/2014/main" id="{7CA796EC-63B2-451A-BCBF-3C4412F93899}"/>
            </a:ext>
          </a:extLst>
        </xdr:cNvPr>
        <xdr:cNvSpPr>
          <a:spLocks noChangeShapeType="1"/>
        </xdr:cNvSpPr>
      </xdr:nvSpPr>
      <xdr:spPr bwMode="auto">
        <a:xfrm flipV="1">
          <a:off x="342900" y="3952875"/>
          <a:ext cx="0" cy="2695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23</xdr:row>
      <xdr:rowOff>85725</xdr:rowOff>
    </xdr:from>
    <xdr:to>
      <xdr:col>1</xdr:col>
      <xdr:colOff>0</xdr:colOff>
      <xdr:row>23</xdr:row>
      <xdr:rowOff>85725</xdr:rowOff>
    </xdr:to>
    <xdr:sp macro="" textlink="">
      <xdr:nvSpPr>
        <xdr:cNvPr id="25" name="Line 100">
          <a:extLst>
            <a:ext uri="{FF2B5EF4-FFF2-40B4-BE49-F238E27FC236}">
              <a16:creationId xmlns:a16="http://schemas.microsoft.com/office/drawing/2014/main" id="{CAE7D67E-BBB3-4774-AE67-288769414BBD}"/>
            </a:ext>
          </a:extLst>
        </xdr:cNvPr>
        <xdr:cNvSpPr>
          <a:spLocks noChangeShapeType="1"/>
        </xdr:cNvSpPr>
      </xdr:nvSpPr>
      <xdr:spPr bwMode="auto">
        <a:xfrm>
          <a:off x="342900" y="3952875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33</xdr:row>
      <xdr:rowOff>28575</xdr:rowOff>
    </xdr:from>
    <xdr:to>
      <xdr:col>0</xdr:col>
      <xdr:colOff>114300</xdr:colOff>
      <xdr:row>38</xdr:row>
      <xdr:rowOff>85725</xdr:rowOff>
    </xdr:to>
    <xdr:sp macro="" textlink="">
      <xdr:nvSpPr>
        <xdr:cNvPr id="26" name="Line 106">
          <a:extLst>
            <a:ext uri="{FF2B5EF4-FFF2-40B4-BE49-F238E27FC236}">
              <a16:creationId xmlns:a16="http://schemas.microsoft.com/office/drawing/2014/main" id="{8D6DC1C8-C2A4-40BB-B5E4-754FCBAD2AA1}"/>
            </a:ext>
          </a:extLst>
        </xdr:cNvPr>
        <xdr:cNvSpPr>
          <a:spLocks noChangeShapeType="1"/>
        </xdr:cNvSpPr>
      </xdr:nvSpPr>
      <xdr:spPr bwMode="auto">
        <a:xfrm>
          <a:off x="114300" y="5762625"/>
          <a:ext cx="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171450</xdr:colOff>
      <xdr:row>33</xdr:row>
      <xdr:rowOff>28575</xdr:rowOff>
    </xdr:from>
    <xdr:to>
      <xdr:col>7</xdr:col>
      <xdr:colOff>171450</xdr:colOff>
      <xdr:row>38</xdr:row>
      <xdr:rowOff>85725</xdr:rowOff>
    </xdr:to>
    <xdr:sp macro="" textlink="">
      <xdr:nvSpPr>
        <xdr:cNvPr id="27" name="Line 107">
          <a:extLst>
            <a:ext uri="{FF2B5EF4-FFF2-40B4-BE49-F238E27FC236}">
              <a16:creationId xmlns:a16="http://schemas.microsoft.com/office/drawing/2014/main" id="{FB605954-D578-4BA3-9C99-77DA1A8E6016}"/>
            </a:ext>
          </a:extLst>
        </xdr:cNvPr>
        <xdr:cNvSpPr>
          <a:spLocks noChangeShapeType="1"/>
        </xdr:cNvSpPr>
      </xdr:nvSpPr>
      <xdr:spPr bwMode="auto">
        <a:xfrm>
          <a:off x="2200275" y="5762625"/>
          <a:ext cx="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95250</xdr:colOff>
      <xdr:row>34</xdr:row>
      <xdr:rowOff>95250</xdr:rowOff>
    </xdr:from>
    <xdr:to>
      <xdr:col>6</xdr:col>
      <xdr:colOff>66675</xdr:colOff>
      <xdr:row>37</xdr:row>
      <xdr:rowOff>19050</xdr:rowOff>
    </xdr:to>
    <xdr:sp macro="" textlink="">
      <xdr:nvSpPr>
        <xdr:cNvPr id="28" name="Rectangle 109">
          <a:extLst>
            <a:ext uri="{FF2B5EF4-FFF2-40B4-BE49-F238E27FC236}">
              <a16:creationId xmlns:a16="http://schemas.microsoft.com/office/drawing/2014/main" id="{8BD71FDF-B575-4585-A65C-554E0E8D6038}"/>
            </a:ext>
          </a:extLst>
        </xdr:cNvPr>
        <xdr:cNvSpPr>
          <a:spLocks noChangeArrowheads="1"/>
        </xdr:cNvSpPr>
      </xdr:nvSpPr>
      <xdr:spPr bwMode="auto">
        <a:xfrm>
          <a:off x="1628775" y="5991225"/>
          <a:ext cx="21907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36</xdr:row>
      <xdr:rowOff>66675</xdr:rowOff>
    </xdr:from>
    <xdr:to>
      <xdr:col>5</xdr:col>
      <xdr:colOff>95250</xdr:colOff>
      <xdr:row>37</xdr:row>
      <xdr:rowOff>19050</xdr:rowOff>
    </xdr:to>
    <xdr:sp macro="" textlink="">
      <xdr:nvSpPr>
        <xdr:cNvPr id="29" name="Rectangle 110">
          <a:extLst>
            <a:ext uri="{FF2B5EF4-FFF2-40B4-BE49-F238E27FC236}">
              <a16:creationId xmlns:a16="http://schemas.microsoft.com/office/drawing/2014/main" id="{68996DB4-DA06-4351-9E4A-D91FFE10EC84}"/>
            </a:ext>
          </a:extLst>
        </xdr:cNvPr>
        <xdr:cNvSpPr>
          <a:spLocks noChangeArrowheads="1"/>
        </xdr:cNvSpPr>
      </xdr:nvSpPr>
      <xdr:spPr bwMode="auto">
        <a:xfrm>
          <a:off x="466725" y="6324600"/>
          <a:ext cx="11620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36</xdr:row>
      <xdr:rowOff>66675</xdr:rowOff>
    </xdr:from>
    <xdr:to>
      <xdr:col>7</xdr:col>
      <xdr:colOff>171450</xdr:colOff>
      <xdr:row>37</xdr:row>
      <xdr:rowOff>19050</xdr:rowOff>
    </xdr:to>
    <xdr:sp macro="" textlink="">
      <xdr:nvSpPr>
        <xdr:cNvPr id="30" name="Rectangle 111">
          <a:extLst>
            <a:ext uri="{FF2B5EF4-FFF2-40B4-BE49-F238E27FC236}">
              <a16:creationId xmlns:a16="http://schemas.microsoft.com/office/drawing/2014/main" id="{CCD672BB-F5A8-4BB2-8738-F954122701D5}"/>
            </a:ext>
          </a:extLst>
        </xdr:cNvPr>
        <xdr:cNvSpPr>
          <a:spLocks noChangeArrowheads="1"/>
        </xdr:cNvSpPr>
      </xdr:nvSpPr>
      <xdr:spPr bwMode="auto">
        <a:xfrm>
          <a:off x="1847850" y="6324600"/>
          <a:ext cx="352425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36</xdr:row>
      <xdr:rowOff>66675</xdr:rowOff>
    </xdr:from>
    <xdr:to>
      <xdr:col>0</xdr:col>
      <xdr:colOff>238125</xdr:colOff>
      <xdr:row>37</xdr:row>
      <xdr:rowOff>19050</xdr:rowOff>
    </xdr:to>
    <xdr:sp macro="" textlink="">
      <xdr:nvSpPr>
        <xdr:cNvPr id="31" name="Rectangle 112">
          <a:extLst>
            <a:ext uri="{FF2B5EF4-FFF2-40B4-BE49-F238E27FC236}">
              <a16:creationId xmlns:a16="http://schemas.microsoft.com/office/drawing/2014/main" id="{6E585D73-4471-4806-A642-B43E762687D7}"/>
            </a:ext>
          </a:extLst>
        </xdr:cNvPr>
        <xdr:cNvSpPr>
          <a:spLocks noChangeArrowheads="1"/>
        </xdr:cNvSpPr>
      </xdr:nvSpPr>
      <xdr:spPr bwMode="auto">
        <a:xfrm>
          <a:off x="104775" y="6324600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295275</xdr:colOff>
      <xdr:row>33</xdr:row>
      <xdr:rowOff>85725</xdr:rowOff>
    </xdr:from>
    <xdr:to>
      <xdr:col>6</xdr:col>
      <xdr:colOff>9525</xdr:colOff>
      <xdr:row>33</xdr:row>
      <xdr:rowOff>85725</xdr:rowOff>
    </xdr:to>
    <xdr:sp macro="" textlink="">
      <xdr:nvSpPr>
        <xdr:cNvPr id="32" name="Line 115">
          <a:extLst>
            <a:ext uri="{FF2B5EF4-FFF2-40B4-BE49-F238E27FC236}">
              <a16:creationId xmlns:a16="http://schemas.microsoft.com/office/drawing/2014/main" id="{6FEFD605-337E-489A-942B-F357B9B08225}"/>
            </a:ext>
          </a:extLst>
        </xdr:cNvPr>
        <xdr:cNvSpPr>
          <a:spLocks noChangeShapeType="1"/>
        </xdr:cNvSpPr>
      </xdr:nvSpPr>
      <xdr:spPr bwMode="auto">
        <a:xfrm>
          <a:off x="295275" y="5819775"/>
          <a:ext cx="1495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209550</xdr:colOff>
      <xdr:row>32</xdr:row>
      <xdr:rowOff>142875</xdr:rowOff>
    </xdr:from>
    <xdr:to>
      <xdr:col>5</xdr:col>
      <xdr:colOff>209550</xdr:colOff>
      <xdr:row>38</xdr:row>
      <xdr:rowOff>0</xdr:rowOff>
    </xdr:to>
    <xdr:sp macro="" textlink="">
      <xdr:nvSpPr>
        <xdr:cNvPr id="33" name="Line 116">
          <a:extLst>
            <a:ext uri="{FF2B5EF4-FFF2-40B4-BE49-F238E27FC236}">
              <a16:creationId xmlns:a16="http://schemas.microsoft.com/office/drawing/2014/main" id="{03FC4BE8-7F97-4EB8-A8A1-F8D25393D1BC}"/>
            </a:ext>
          </a:extLst>
        </xdr:cNvPr>
        <xdr:cNvSpPr>
          <a:spLocks noChangeShapeType="1"/>
        </xdr:cNvSpPr>
      </xdr:nvSpPr>
      <xdr:spPr bwMode="auto">
        <a:xfrm flipV="1">
          <a:off x="1743075" y="5715000"/>
          <a:ext cx="0" cy="885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361950</xdr:colOff>
      <xdr:row>10</xdr:row>
      <xdr:rowOff>85725</xdr:rowOff>
    </xdr:from>
    <xdr:to>
      <xdr:col>1</xdr:col>
      <xdr:colOff>9525</xdr:colOff>
      <xdr:row>10</xdr:row>
      <xdr:rowOff>85725</xdr:rowOff>
    </xdr:to>
    <xdr:sp macro="" textlink="">
      <xdr:nvSpPr>
        <xdr:cNvPr id="34" name="Line 117">
          <a:extLst>
            <a:ext uri="{FF2B5EF4-FFF2-40B4-BE49-F238E27FC236}">
              <a16:creationId xmlns:a16="http://schemas.microsoft.com/office/drawing/2014/main" id="{D1E66661-2E5A-4768-A265-83B7068EDB5C}"/>
            </a:ext>
          </a:extLst>
        </xdr:cNvPr>
        <xdr:cNvSpPr>
          <a:spLocks noChangeShapeType="1"/>
        </xdr:cNvSpPr>
      </xdr:nvSpPr>
      <xdr:spPr bwMode="auto">
        <a:xfrm>
          <a:off x="361950" y="17240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361950</xdr:colOff>
      <xdr:row>11</xdr:row>
      <xdr:rowOff>85725</xdr:rowOff>
    </xdr:from>
    <xdr:to>
      <xdr:col>1</xdr:col>
      <xdr:colOff>9525</xdr:colOff>
      <xdr:row>11</xdr:row>
      <xdr:rowOff>85725</xdr:rowOff>
    </xdr:to>
    <xdr:sp macro="" textlink="">
      <xdr:nvSpPr>
        <xdr:cNvPr id="35" name="Line 118">
          <a:extLst>
            <a:ext uri="{FF2B5EF4-FFF2-40B4-BE49-F238E27FC236}">
              <a16:creationId xmlns:a16="http://schemas.microsoft.com/office/drawing/2014/main" id="{7B5F281A-0E02-46E3-9B9C-D7DBDE4208BA}"/>
            </a:ext>
          </a:extLst>
        </xdr:cNvPr>
        <xdr:cNvSpPr>
          <a:spLocks noChangeShapeType="1"/>
        </xdr:cNvSpPr>
      </xdr:nvSpPr>
      <xdr:spPr bwMode="auto">
        <a:xfrm>
          <a:off x="361950" y="18954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361950</xdr:colOff>
      <xdr:row>12</xdr:row>
      <xdr:rowOff>85725</xdr:rowOff>
    </xdr:from>
    <xdr:to>
      <xdr:col>1</xdr:col>
      <xdr:colOff>9525</xdr:colOff>
      <xdr:row>12</xdr:row>
      <xdr:rowOff>85725</xdr:rowOff>
    </xdr:to>
    <xdr:sp macro="" textlink="">
      <xdr:nvSpPr>
        <xdr:cNvPr id="36" name="Line 119">
          <a:extLst>
            <a:ext uri="{FF2B5EF4-FFF2-40B4-BE49-F238E27FC236}">
              <a16:creationId xmlns:a16="http://schemas.microsoft.com/office/drawing/2014/main" id="{8DB84E5A-41B4-4DB4-A5CA-0F2CB6EEC36F}"/>
            </a:ext>
          </a:extLst>
        </xdr:cNvPr>
        <xdr:cNvSpPr>
          <a:spLocks noChangeShapeType="1"/>
        </xdr:cNvSpPr>
      </xdr:nvSpPr>
      <xdr:spPr bwMode="auto">
        <a:xfrm>
          <a:off x="361950" y="20669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361950</xdr:colOff>
      <xdr:row>13</xdr:row>
      <xdr:rowOff>85725</xdr:rowOff>
    </xdr:from>
    <xdr:to>
      <xdr:col>1</xdr:col>
      <xdr:colOff>9525</xdr:colOff>
      <xdr:row>13</xdr:row>
      <xdr:rowOff>85725</xdr:rowOff>
    </xdr:to>
    <xdr:sp macro="" textlink="">
      <xdr:nvSpPr>
        <xdr:cNvPr id="37" name="Line 120">
          <a:extLst>
            <a:ext uri="{FF2B5EF4-FFF2-40B4-BE49-F238E27FC236}">
              <a16:creationId xmlns:a16="http://schemas.microsoft.com/office/drawing/2014/main" id="{CBB82F9B-0A0E-42D8-8E7E-7950199585E1}"/>
            </a:ext>
          </a:extLst>
        </xdr:cNvPr>
        <xdr:cNvSpPr>
          <a:spLocks noChangeShapeType="1"/>
        </xdr:cNvSpPr>
      </xdr:nvSpPr>
      <xdr:spPr bwMode="auto">
        <a:xfrm>
          <a:off x="361950" y="22383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361950</xdr:colOff>
      <xdr:row>14</xdr:row>
      <xdr:rowOff>85725</xdr:rowOff>
    </xdr:from>
    <xdr:to>
      <xdr:col>1</xdr:col>
      <xdr:colOff>9525</xdr:colOff>
      <xdr:row>14</xdr:row>
      <xdr:rowOff>85725</xdr:rowOff>
    </xdr:to>
    <xdr:sp macro="" textlink="">
      <xdr:nvSpPr>
        <xdr:cNvPr id="38" name="Line 121">
          <a:extLst>
            <a:ext uri="{FF2B5EF4-FFF2-40B4-BE49-F238E27FC236}">
              <a16:creationId xmlns:a16="http://schemas.microsoft.com/office/drawing/2014/main" id="{708EA9D3-F440-447B-B383-725A2D9B1BAF}"/>
            </a:ext>
          </a:extLst>
        </xdr:cNvPr>
        <xdr:cNvSpPr>
          <a:spLocks noChangeShapeType="1"/>
        </xdr:cNvSpPr>
      </xdr:nvSpPr>
      <xdr:spPr bwMode="auto">
        <a:xfrm>
          <a:off x="361950" y="24098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504825</xdr:colOff>
      <xdr:row>17</xdr:row>
      <xdr:rowOff>9525</xdr:rowOff>
    </xdr:from>
    <xdr:to>
      <xdr:col>2</xdr:col>
      <xdr:colOff>38100</xdr:colOff>
      <xdr:row>19</xdr:row>
      <xdr:rowOff>19050</xdr:rowOff>
    </xdr:to>
    <xdr:sp macro="" textlink="">
      <xdr:nvSpPr>
        <xdr:cNvPr id="39" name="AutoShape 122">
          <a:extLst>
            <a:ext uri="{FF2B5EF4-FFF2-40B4-BE49-F238E27FC236}">
              <a16:creationId xmlns:a16="http://schemas.microsoft.com/office/drawing/2014/main" id="{4C91CEFE-9324-4378-A100-3BD7C9C8487B}"/>
            </a:ext>
          </a:extLst>
        </xdr:cNvPr>
        <xdr:cNvSpPr>
          <a:spLocks noChangeArrowheads="1"/>
        </xdr:cNvSpPr>
      </xdr:nvSpPr>
      <xdr:spPr bwMode="auto">
        <a:xfrm rot="-5400000">
          <a:off x="490537" y="2843213"/>
          <a:ext cx="352425" cy="323850"/>
        </a:xfrm>
        <a:prstGeom prst="flowChartDelay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219075</xdr:colOff>
      <xdr:row>17</xdr:row>
      <xdr:rowOff>9525</xdr:rowOff>
    </xdr:from>
    <xdr:to>
      <xdr:col>0</xdr:col>
      <xdr:colOff>504825</xdr:colOff>
      <xdr:row>19</xdr:row>
      <xdr:rowOff>19050</xdr:rowOff>
    </xdr:to>
    <xdr:sp macro="" textlink="">
      <xdr:nvSpPr>
        <xdr:cNvPr id="40" name="AutoShape 123">
          <a:extLst>
            <a:ext uri="{FF2B5EF4-FFF2-40B4-BE49-F238E27FC236}">
              <a16:creationId xmlns:a16="http://schemas.microsoft.com/office/drawing/2014/main" id="{BEAA7EDE-7A63-4D55-A5C0-94D83EE4F92B}"/>
            </a:ext>
          </a:extLst>
        </xdr:cNvPr>
        <xdr:cNvSpPr>
          <a:spLocks noChangeArrowheads="1"/>
        </xdr:cNvSpPr>
      </xdr:nvSpPr>
      <xdr:spPr bwMode="auto">
        <a:xfrm rot="-5400000">
          <a:off x="185737" y="2862263"/>
          <a:ext cx="352425" cy="285750"/>
        </a:xfrm>
        <a:prstGeom prst="flowChartDelay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352425</xdr:colOff>
      <xdr:row>9</xdr:row>
      <xdr:rowOff>85725</xdr:rowOff>
    </xdr:from>
    <xdr:to>
      <xdr:col>0</xdr:col>
      <xdr:colOff>352425</xdr:colOff>
      <xdr:row>19</xdr:row>
      <xdr:rowOff>152400</xdr:rowOff>
    </xdr:to>
    <xdr:sp macro="" textlink="">
      <xdr:nvSpPr>
        <xdr:cNvPr id="41" name="Line 55">
          <a:extLst>
            <a:ext uri="{FF2B5EF4-FFF2-40B4-BE49-F238E27FC236}">
              <a16:creationId xmlns:a16="http://schemas.microsoft.com/office/drawing/2014/main" id="{A198D1FA-F252-4FCC-B247-00EDDA10678D}"/>
            </a:ext>
          </a:extLst>
        </xdr:cNvPr>
        <xdr:cNvSpPr>
          <a:spLocks noChangeShapeType="1"/>
        </xdr:cNvSpPr>
      </xdr:nvSpPr>
      <xdr:spPr bwMode="auto">
        <a:xfrm flipV="1">
          <a:off x="352425" y="1552575"/>
          <a:ext cx="0" cy="1762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24</xdr:row>
      <xdr:rowOff>85725</xdr:rowOff>
    </xdr:from>
    <xdr:to>
      <xdr:col>1</xdr:col>
      <xdr:colOff>0</xdr:colOff>
      <xdr:row>24</xdr:row>
      <xdr:rowOff>85725</xdr:rowOff>
    </xdr:to>
    <xdr:sp macro="" textlink="">
      <xdr:nvSpPr>
        <xdr:cNvPr id="42" name="Line 126">
          <a:extLst>
            <a:ext uri="{FF2B5EF4-FFF2-40B4-BE49-F238E27FC236}">
              <a16:creationId xmlns:a16="http://schemas.microsoft.com/office/drawing/2014/main" id="{40C7A574-A84E-46E9-97C9-C691446E82A9}"/>
            </a:ext>
          </a:extLst>
        </xdr:cNvPr>
        <xdr:cNvSpPr>
          <a:spLocks noChangeShapeType="1"/>
        </xdr:cNvSpPr>
      </xdr:nvSpPr>
      <xdr:spPr bwMode="auto">
        <a:xfrm>
          <a:off x="342900" y="4143375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26</xdr:row>
      <xdr:rowOff>85725</xdr:rowOff>
    </xdr:from>
    <xdr:to>
      <xdr:col>1</xdr:col>
      <xdr:colOff>0</xdr:colOff>
      <xdr:row>26</xdr:row>
      <xdr:rowOff>85725</xdr:rowOff>
    </xdr:to>
    <xdr:sp macro="" textlink="">
      <xdr:nvSpPr>
        <xdr:cNvPr id="43" name="Line 127">
          <a:extLst>
            <a:ext uri="{FF2B5EF4-FFF2-40B4-BE49-F238E27FC236}">
              <a16:creationId xmlns:a16="http://schemas.microsoft.com/office/drawing/2014/main" id="{7ABB7CC0-CB68-49E2-B126-50151C1E5A5A}"/>
            </a:ext>
          </a:extLst>
        </xdr:cNvPr>
        <xdr:cNvSpPr>
          <a:spLocks noChangeShapeType="1"/>
        </xdr:cNvSpPr>
      </xdr:nvSpPr>
      <xdr:spPr bwMode="auto">
        <a:xfrm>
          <a:off x="342900" y="4524375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27</xdr:row>
      <xdr:rowOff>85725</xdr:rowOff>
    </xdr:from>
    <xdr:to>
      <xdr:col>1</xdr:col>
      <xdr:colOff>0</xdr:colOff>
      <xdr:row>27</xdr:row>
      <xdr:rowOff>85725</xdr:rowOff>
    </xdr:to>
    <xdr:sp macro="" textlink="">
      <xdr:nvSpPr>
        <xdr:cNvPr id="44" name="Line 128">
          <a:extLst>
            <a:ext uri="{FF2B5EF4-FFF2-40B4-BE49-F238E27FC236}">
              <a16:creationId xmlns:a16="http://schemas.microsoft.com/office/drawing/2014/main" id="{B6894DC9-34E4-4B95-B0A1-3C110045D3EF}"/>
            </a:ext>
          </a:extLst>
        </xdr:cNvPr>
        <xdr:cNvSpPr>
          <a:spLocks noChangeShapeType="1"/>
        </xdr:cNvSpPr>
      </xdr:nvSpPr>
      <xdr:spPr bwMode="auto">
        <a:xfrm>
          <a:off x="342900" y="4714875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29</xdr:row>
      <xdr:rowOff>85725</xdr:rowOff>
    </xdr:from>
    <xdr:to>
      <xdr:col>1</xdr:col>
      <xdr:colOff>0</xdr:colOff>
      <xdr:row>29</xdr:row>
      <xdr:rowOff>85725</xdr:rowOff>
    </xdr:to>
    <xdr:sp macro="" textlink="">
      <xdr:nvSpPr>
        <xdr:cNvPr id="45" name="Line 129">
          <a:extLst>
            <a:ext uri="{FF2B5EF4-FFF2-40B4-BE49-F238E27FC236}">
              <a16:creationId xmlns:a16="http://schemas.microsoft.com/office/drawing/2014/main" id="{56DE59FD-1BB4-4687-96ED-4BDBC332345E}"/>
            </a:ext>
          </a:extLst>
        </xdr:cNvPr>
        <xdr:cNvSpPr>
          <a:spLocks noChangeShapeType="1"/>
        </xdr:cNvSpPr>
      </xdr:nvSpPr>
      <xdr:spPr bwMode="auto">
        <a:xfrm>
          <a:off x="342900" y="5086350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30</xdr:row>
      <xdr:rowOff>85725</xdr:rowOff>
    </xdr:from>
    <xdr:to>
      <xdr:col>1</xdr:col>
      <xdr:colOff>0</xdr:colOff>
      <xdr:row>30</xdr:row>
      <xdr:rowOff>85725</xdr:rowOff>
    </xdr:to>
    <xdr:sp macro="" textlink="">
      <xdr:nvSpPr>
        <xdr:cNvPr id="46" name="Line 130">
          <a:extLst>
            <a:ext uri="{FF2B5EF4-FFF2-40B4-BE49-F238E27FC236}">
              <a16:creationId xmlns:a16="http://schemas.microsoft.com/office/drawing/2014/main" id="{4E5A4096-A521-46A6-9D96-9B7636DB2BBD}"/>
            </a:ext>
          </a:extLst>
        </xdr:cNvPr>
        <xdr:cNvSpPr>
          <a:spLocks noChangeShapeType="1"/>
        </xdr:cNvSpPr>
      </xdr:nvSpPr>
      <xdr:spPr bwMode="auto">
        <a:xfrm>
          <a:off x="342900" y="5276850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31</xdr:row>
      <xdr:rowOff>85725</xdr:rowOff>
    </xdr:from>
    <xdr:to>
      <xdr:col>1</xdr:col>
      <xdr:colOff>0</xdr:colOff>
      <xdr:row>31</xdr:row>
      <xdr:rowOff>85725</xdr:rowOff>
    </xdr:to>
    <xdr:sp macro="" textlink="">
      <xdr:nvSpPr>
        <xdr:cNvPr id="47" name="Line 131">
          <a:extLst>
            <a:ext uri="{FF2B5EF4-FFF2-40B4-BE49-F238E27FC236}">
              <a16:creationId xmlns:a16="http://schemas.microsoft.com/office/drawing/2014/main" id="{E1E8F39E-E55A-44F7-8356-3FE4DF1035A6}"/>
            </a:ext>
          </a:extLst>
        </xdr:cNvPr>
        <xdr:cNvSpPr>
          <a:spLocks noChangeShapeType="1"/>
        </xdr:cNvSpPr>
      </xdr:nvSpPr>
      <xdr:spPr bwMode="auto">
        <a:xfrm>
          <a:off x="342900" y="5467350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28</xdr:row>
      <xdr:rowOff>85725</xdr:rowOff>
    </xdr:from>
    <xdr:to>
      <xdr:col>1</xdr:col>
      <xdr:colOff>0</xdr:colOff>
      <xdr:row>28</xdr:row>
      <xdr:rowOff>85725</xdr:rowOff>
    </xdr:to>
    <xdr:sp macro="" textlink="">
      <xdr:nvSpPr>
        <xdr:cNvPr id="48" name="Line 132">
          <a:extLst>
            <a:ext uri="{FF2B5EF4-FFF2-40B4-BE49-F238E27FC236}">
              <a16:creationId xmlns:a16="http://schemas.microsoft.com/office/drawing/2014/main" id="{E3E35255-AA21-4189-A45E-3016569D9AA3}"/>
            </a:ext>
          </a:extLst>
        </xdr:cNvPr>
        <xdr:cNvSpPr>
          <a:spLocks noChangeShapeType="1"/>
        </xdr:cNvSpPr>
      </xdr:nvSpPr>
      <xdr:spPr bwMode="auto">
        <a:xfrm>
          <a:off x="342900" y="4905375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25</xdr:row>
      <xdr:rowOff>85725</xdr:rowOff>
    </xdr:from>
    <xdr:to>
      <xdr:col>1</xdr:col>
      <xdr:colOff>0</xdr:colOff>
      <xdr:row>25</xdr:row>
      <xdr:rowOff>85725</xdr:rowOff>
    </xdr:to>
    <xdr:sp macro="" textlink="">
      <xdr:nvSpPr>
        <xdr:cNvPr id="49" name="Line 133">
          <a:extLst>
            <a:ext uri="{FF2B5EF4-FFF2-40B4-BE49-F238E27FC236}">
              <a16:creationId xmlns:a16="http://schemas.microsoft.com/office/drawing/2014/main" id="{0613185F-6E63-44AE-B85C-43FDB5A4A9C8}"/>
            </a:ext>
          </a:extLst>
        </xdr:cNvPr>
        <xdr:cNvSpPr>
          <a:spLocks noChangeShapeType="1"/>
        </xdr:cNvSpPr>
      </xdr:nvSpPr>
      <xdr:spPr bwMode="auto">
        <a:xfrm>
          <a:off x="342900" y="4333875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52</xdr:row>
      <xdr:rowOff>85725</xdr:rowOff>
    </xdr:from>
    <xdr:to>
      <xdr:col>7</xdr:col>
      <xdr:colOff>104775</xdr:colOff>
      <xdr:row>52</xdr:row>
      <xdr:rowOff>85725</xdr:rowOff>
    </xdr:to>
    <xdr:sp macro="" textlink="">
      <xdr:nvSpPr>
        <xdr:cNvPr id="50" name="Line 136">
          <a:extLst>
            <a:ext uri="{FF2B5EF4-FFF2-40B4-BE49-F238E27FC236}">
              <a16:creationId xmlns:a16="http://schemas.microsoft.com/office/drawing/2014/main" id="{36B27430-03B4-466B-9C76-65E1856BCF42}"/>
            </a:ext>
          </a:extLst>
        </xdr:cNvPr>
        <xdr:cNvSpPr>
          <a:spLocks noChangeShapeType="1"/>
        </xdr:cNvSpPr>
      </xdr:nvSpPr>
      <xdr:spPr bwMode="auto">
        <a:xfrm>
          <a:off x="47625" y="9067800"/>
          <a:ext cx="2085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49</xdr:row>
      <xdr:rowOff>171450</xdr:rowOff>
    </xdr:from>
    <xdr:to>
      <xdr:col>7</xdr:col>
      <xdr:colOff>104775</xdr:colOff>
      <xdr:row>49</xdr:row>
      <xdr:rowOff>171450</xdr:rowOff>
    </xdr:to>
    <xdr:sp macro="" textlink="">
      <xdr:nvSpPr>
        <xdr:cNvPr id="51" name="Line 137">
          <a:extLst>
            <a:ext uri="{FF2B5EF4-FFF2-40B4-BE49-F238E27FC236}">
              <a16:creationId xmlns:a16="http://schemas.microsoft.com/office/drawing/2014/main" id="{BCA1B2C0-2D58-4F40-B56C-244626629AAC}"/>
            </a:ext>
          </a:extLst>
        </xdr:cNvPr>
        <xdr:cNvSpPr>
          <a:spLocks noChangeShapeType="1"/>
        </xdr:cNvSpPr>
      </xdr:nvSpPr>
      <xdr:spPr bwMode="auto">
        <a:xfrm>
          <a:off x="47625" y="8639175"/>
          <a:ext cx="2085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49</xdr:row>
      <xdr:rowOff>85725</xdr:rowOff>
    </xdr:from>
    <xdr:to>
      <xdr:col>7</xdr:col>
      <xdr:colOff>104775</xdr:colOff>
      <xdr:row>49</xdr:row>
      <xdr:rowOff>85725</xdr:rowOff>
    </xdr:to>
    <xdr:sp macro="" textlink="">
      <xdr:nvSpPr>
        <xdr:cNvPr id="52" name="Line 138">
          <a:extLst>
            <a:ext uri="{FF2B5EF4-FFF2-40B4-BE49-F238E27FC236}">
              <a16:creationId xmlns:a16="http://schemas.microsoft.com/office/drawing/2014/main" id="{2A8D1233-386C-40EE-A47C-D5160EAF3EF8}"/>
            </a:ext>
          </a:extLst>
        </xdr:cNvPr>
        <xdr:cNvSpPr>
          <a:spLocks noChangeShapeType="1"/>
        </xdr:cNvSpPr>
      </xdr:nvSpPr>
      <xdr:spPr bwMode="auto">
        <a:xfrm>
          <a:off x="47625" y="8562975"/>
          <a:ext cx="2085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48</xdr:row>
      <xdr:rowOff>171450</xdr:rowOff>
    </xdr:from>
    <xdr:to>
      <xdr:col>7</xdr:col>
      <xdr:colOff>104775</xdr:colOff>
      <xdr:row>48</xdr:row>
      <xdr:rowOff>171450</xdr:rowOff>
    </xdr:to>
    <xdr:sp macro="" textlink="">
      <xdr:nvSpPr>
        <xdr:cNvPr id="53" name="Line 139">
          <a:extLst>
            <a:ext uri="{FF2B5EF4-FFF2-40B4-BE49-F238E27FC236}">
              <a16:creationId xmlns:a16="http://schemas.microsoft.com/office/drawing/2014/main" id="{A3263636-2BFF-4342-B8A9-276AD31D71C9}"/>
            </a:ext>
          </a:extLst>
        </xdr:cNvPr>
        <xdr:cNvSpPr>
          <a:spLocks noChangeShapeType="1"/>
        </xdr:cNvSpPr>
      </xdr:nvSpPr>
      <xdr:spPr bwMode="auto">
        <a:xfrm>
          <a:off x="47625" y="8477250"/>
          <a:ext cx="2085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48</xdr:row>
      <xdr:rowOff>19050</xdr:rowOff>
    </xdr:from>
    <xdr:to>
      <xdr:col>0</xdr:col>
      <xdr:colOff>47625</xdr:colOff>
      <xdr:row>53</xdr:row>
      <xdr:rowOff>133350</xdr:rowOff>
    </xdr:to>
    <xdr:sp macro="" textlink="">
      <xdr:nvSpPr>
        <xdr:cNvPr id="54" name="Line 140">
          <a:extLst>
            <a:ext uri="{FF2B5EF4-FFF2-40B4-BE49-F238E27FC236}">
              <a16:creationId xmlns:a16="http://schemas.microsoft.com/office/drawing/2014/main" id="{83752F6A-2B60-4F71-826D-98C46B9E6EF1}"/>
            </a:ext>
          </a:extLst>
        </xdr:cNvPr>
        <xdr:cNvSpPr>
          <a:spLocks noChangeShapeType="1"/>
        </xdr:cNvSpPr>
      </xdr:nvSpPr>
      <xdr:spPr bwMode="auto">
        <a:xfrm>
          <a:off x="47625" y="833437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104775</xdr:colOff>
      <xdr:row>48</xdr:row>
      <xdr:rowOff>19050</xdr:rowOff>
    </xdr:from>
    <xdr:to>
      <xdr:col>7</xdr:col>
      <xdr:colOff>104775</xdr:colOff>
      <xdr:row>53</xdr:row>
      <xdr:rowOff>133350</xdr:rowOff>
    </xdr:to>
    <xdr:sp macro="" textlink="">
      <xdr:nvSpPr>
        <xdr:cNvPr id="55" name="Line 141">
          <a:extLst>
            <a:ext uri="{FF2B5EF4-FFF2-40B4-BE49-F238E27FC236}">
              <a16:creationId xmlns:a16="http://schemas.microsoft.com/office/drawing/2014/main" id="{D067505A-6C01-4D81-943A-0FC6456AD92C}"/>
            </a:ext>
          </a:extLst>
        </xdr:cNvPr>
        <xdr:cNvSpPr>
          <a:spLocks noChangeShapeType="1"/>
        </xdr:cNvSpPr>
      </xdr:nvSpPr>
      <xdr:spPr bwMode="auto">
        <a:xfrm>
          <a:off x="2133600" y="8334375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48</xdr:row>
      <xdr:rowOff>123825</xdr:rowOff>
    </xdr:from>
    <xdr:to>
      <xdr:col>7</xdr:col>
      <xdr:colOff>104775</xdr:colOff>
      <xdr:row>48</xdr:row>
      <xdr:rowOff>123825</xdr:rowOff>
    </xdr:to>
    <xdr:sp macro="" textlink="">
      <xdr:nvSpPr>
        <xdr:cNvPr id="56" name="Line 142">
          <a:extLst>
            <a:ext uri="{FF2B5EF4-FFF2-40B4-BE49-F238E27FC236}">
              <a16:creationId xmlns:a16="http://schemas.microsoft.com/office/drawing/2014/main" id="{6956C19A-A604-4EC0-8E98-049B95E77D73}"/>
            </a:ext>
          </a:extLst>
        </xdr:cNvPr>
        <xdr:cNvSpPr>
          <a:spLocks noChangeShapeType="1"/>
        </xdr:cNvSpPr>
      </xdr:nvSpPr>
      <xdr:spPr bwMode="auto">
        <a:xfrm>
          <a:off x="47625" y="8439150"/>
          <a:ext cx="2085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42</xdr:row>
      <xdr:rowOff>85725</xdr:rowOff>
    </xdr:from>
    <xdr:to>
      <xdr:col>1</xdr:col>
      <xdr:colOff>0</xdr:colOff>
      <xdr:row>42</xdr:row>
      <xdr:rowOff>85725</xdr:rowOff>
    </xdr:to>
    <xdr:sp macro="" textlink="">
      <xdr:nvSpPr>
        <xdr:cNvPr id="57" name="Line 143">
          <a:extLst>
            <a:ext uri="{FF2B5EF4-FFF2-40B4-BE49-F238E27FC236}">
              <a16:creationId xmlns:a16="http://schemas.microsoft.com/office/drawing/2014/main" id="{B675077E-DC18-4DD8-AA34-EE8169D056B7}"/>
            </a:ext>
          </a:extLst>
        </xdr:cNvPr>
        <xdr:cNvSpPr>
          <a:spLocks noChangeShapeType="1"/>
        </xdr:cNvSpPr>
      </xdr:nvSpPr>
      <xdr:spPr bwMode="auto">
        <a:xfrm>
          <a:off x="342900" y="7372350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43</xdr:row>
      <xdr:rowOff>85725</xdr:rowOff>
    </xdr:from>
    <xdr:to>
      <xdr:col>1</xdr:col>
      <xdr:colOff>0</xdr:colOff>
      <xdr:row>43</xdr:row>
      <xdr:rowOff>85725</xdr:rowOff>
    </xdr:to>
    <xdr:sp macro="" textlink="">
      <xdr:nvSpPr>
        <xdr:cNvPr id="58" name="Line 144">
          <a:extLst>
            <a:ext uri="{FF2B5EF4-FFF2-40B4-BE49-F238E27FC236}">
              <a16:creationId xmlns:a16="http://schemas.microsoft.com/office/drawing/2014/main" id="{95A4C03E-DBA3-47DE-8F32-C5AFCDCFB76F}"/>
            </a:ext>
          </a:extLst>
        </xdr:cNvPr>
        <xdr:cNvSpPr>
          <a:spLocks noChangeShapeType="1"/>
        </xdr:cNvSpPr>
      </xdr:nvSpPr>
      <xdr:spPr bwMode="auto">
        <a:xfrm>
          <a:off x="342900" y="7543800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45</xdr:row>
      <xdr:rowOff>85725</xdr:rowOff>
    </xdr:from>
    <xdr:to>
      <xdr:col>1</xdr:col>
      <xdr:colOff>0</xdr:colOff>
      <xdr:row>45</xdr:row>
      <xdr:rowOff>85725</xdr:rowOff>
    </xdr:to>
    <xdr:sp macro="" textlink="">
      <xdr:nvSpPr>
        <xdr:cNvPr id="59" name="Line 145">
          <a:extLst>
            <a:ext uri="{FF2B5EF4-FFF2-40B4-BE49-F238E27FC236}">
              <a16:creationId xmlns:a16="http://schemas.microsoft.com/office/drawing/2014/main" id="{2E25EC25-33B8-469B-BF8A-F78A9C89FAEB}"/>
            </a:ext>
          </a:extLst>
        </xdr:cNvPr>
        <xdr:cNvSpPr>
          <a:spLocks noChangeShapeType="1"/>
        </xdr:cNvSpPr>
      </xdr:nvSpPr>
      <xdr:spPr bwMode="auto">
        <a:xfrm>
          <a:off x="342900" y="7886700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46</xdr:row>
      <xdr:rowOff>85725</xdr:rowOff>
    </xdr:from>
    <xdr:to>
      <xdr:col>1</xdr:col>
      <xdr:colOff>0</xdr:colOff>
      <xdr:row>46</xdr:row>
      <xdr:rowOff>85725</xdr:rowOff>
    </xdr:to>
    <xdr:sp macro="" textlink="">
      <xdr:nvSpPr>
        <xdr:cNvPr id="60" name="Line 146">
          <a:extLst>
            <a:ext uri="{FF2B5EF4-FFF2-40B4-BE49-F238E27FC236}">
              <a16:creationId xmlns:a16="http://schemas.microsoft.com/office/drawing/2014/main" id="{FEF8CB74-1E3A-4164-9F0C-9A07AA6FF2D7}"/>
            </a:ext>
          </a:extLst>
        </xdr:cNvPr>
        <xdr:cNvSpPr>
          <a:spLocks noChangeShapeType="1"/>
        </xdr:cNvSpPr>
      </xdr:nvSpPr>
      <xdr:spPr bwMode="auto">
        <a:xfrm>
          <a:off x="342900" y="8058150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47</xdr:row>
      <xdr:rowOff>85725</xdr:rowOff>
    </xdr:from>
    <xdr:to>
      <xdr:col>1</xdr:col>
      <xdr:colOff>0</xdr:colOff>
      <xdr:row>47</xdr:row>
      <xdr:rowOff>85725</xdr:rowOff>
    </xdr:to>
    <xdr:sp macro="" textlink="">
      <xdr:nvSpPr>
        <xdr:cNvPr id="61" name="Line 147">
          <a:extLst>
            <a:ext uri="{FF2B5EF4-FFF2-40B4-BE49-F238E27FC236}">
              <a16:creationId xmlns:a16="http://schemas.microsoft.com/office/drawing/2014/main" id="{BAA02DEF-E355-4DFA-9D2F-CB51C0E62AE1}"/>
            </a:ext>
          </a:extLst>
        </xdr:cNvPr>
        <xdr:cNvSpPr>
          <a:spLocks noChangeShapeType="1"/>
        </xdr:cNvSpPr>
      </xdr:nvSpPr>
      <xdr:spPr bwMode="auto">
        <a:xfrm>
          <a:off x="342900" y="8229600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44</xdr:row>
      <xdr:rowOff>85725</xdr:rowOff>
    </xdr:from>
    <xdr:to>
      <xdr:col>1</xdr:col>
      <xdr:colOff>0</xdr:colOff>
      <xdr:row>44</xdr:row>
      <xdr:rowOff>85725</xdr:rowOff>
    </xdr:to>
    <xdr:sp macro="" textlink="">
      <xdr:nvSpPr>
        <xdr:cNvPr id="62" name="Line 148">
          <a:extLst>
            <a:ext uri="{FF2B5EF4-FFF2-40B4-BE49-F238E27FC236}">
              <a16:creationId xmlns:a16="http://schemas.microsoft.com/office/drawing/2014/main" id="{98614A93-9D80-4D27-BC72-25D7D33D8E81}"/>
            </a:ext>
          </a:extLst>
        </xdr:cNvPr>
        <xdr:cNvSpPr>
          <a:spLocks noChangeShapeType="1"/>
        </xdr:cNvSpPr>
      </xdr:nvSpPr>
      <xdr:spPr bwMode="auto">
        <a:xfrm>
          <a:off x="342900" y="7715250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333375</xdr:colOff>
      <xdr:row>42</xdr:row>
      <xdr:rowOff>76200</xdr:rowOff>
    </xdr:from>
    <xdr:to>
      <xdr:col>0</xdr:col>
      <xdr:colOff>333375</xdr:colOff>
      <xdr:row>53</xdr:row>
      <xdr:rowOff>76200</xdr:rowOff>
    </xdr:to>
    <xdr:sp macro="" textlink="">
      <xdr:nvSpPr>
        <xdr:cNvPr id="63" name="Line 149">
          <a:extLst>
            <a:ext uri="{FF2B5EF4-FFF2-40B4-BE49-F238E27FC236}">
              <a16:creationId xmlns:a16="http://schemas.microsoft.com/office/drawing/2014/main" id="{E4F9AADB-B511-49AC-950D-77471726EC31}"/>
            </a:ext>
          </a:extLst>
        </xdr:cNvPr>
        <xdr:cNvSpPr>
          <a:spLocks noChangeShapeType="1"/>
        </xdr:cNvSpPr>
      </xdr:nvSpPr>
      <xdr:spPr bwMode="auto">
        <a:xfrm flipV="1">
          <a:off x="333375" y="7362825"/>
          <a:ext cx="0" cy="1857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285750</xdr:colOff>
      <xdr:row>33</xdr:row>
      <xdr:rowOff>38100</xdr:rowOff>
    </xdr:from>
    <xdr:to>
      <xdr:col>0</xdr:col>
      <xdr:colOff>390525</xdr:colOff>
      <xdr:row>33</xdr:row>
      <xdr:rowOff>142875</xdr:rowOff>
    </xdr:to>
    <xdr:sp macro="" textlink="">
      <xdr:nvSpPr>
        <xdr:cNvPr id="64" name="Line 215">
          <a:extLst>
            <a:ext uri="{FF2B5EF4-FFF2-40B4-BE49-F238E27FC236}">
              <a16:creationId xmlns:a16="http://schemas.microsoft.com/office/drawing/2014/main" id="{D82F26C5-1739-46BC-862F-C38250B424FD}"/>
            </a:ext>
          </a:extLst>
        </xdr:cNvPr>
        <xdr:cNvSpPr>
          <a:spLocks noChangeShapeType="1"/>
        </xdr:cNvSpPr>
      </xdr:nvSpPr>
      <xdr:spPr bwMode="auto">
        <a:xfrm flipV="1">
          <a:off x="285750" y="5772150"/>
          <a:ext cx="104775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161925</xdr:colOff>
      <xdr:row>33</xdr:row>
      <xdr:rowOff>38100</xdr:rowOff>
    </xdr:from>
    <xdr:to>
      <xdr:col>6</xdr:col>
      <xdr:colOff>19050</xdr:colOff>
      <xdr:row>33</xdr:row>
      <xdr:rowOff>142875</xdr:rowOff>
    </xdr:to>
    <xdr:sp macro="" textlink="">
      <xdr:nvSpPr>
        <xdr:cNvPr id="65" name="Line 216">
          <a:extLst>
            <a:ext uri="{FF2B5EF4-FFF2-40B4-BE49-F238E27FC236}">
              <a16:creationId xmlns:a16="http://schemas.microsoft.com/office/drawing/2014/main" id="{8325DDBB-8245-4EA1-8D97-EE82E1927DE3}"/>
            </a:ext>
          </a:extLst>
        </xdr:cNvPr>
        <xdr:cNvSpPr>
          <a:spLocks noChangeShapeType="1"/>
        </xdr:cNvSpPr>
      </xdr:nvSpPr>
      <xdr:spPr bwMode="auto">
        <a:xfrm flipV="1">
          <a:off x="1695450" y="5772150"/>
          <a:ext cx="104775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57150</xdr:colOff>
      <xdr:row>0</xdr:row>
      <xdr:rowOff>76200</xdr:rowOff>
    </xdr:from>
    <xdr:to>
      <xdr:col>1</xdr:col>
      <xdr:colOff>66675</xdr:colOff>
      <xdr:row>4</xdr:row>
      <xdr:rowOff>0</xdr:rowOff>
    </xdr:to>
    <xdr:pic>
      <xdr:nvPicPr>
        <xdr:cNvPr id="66" name="Grafik 73">
          <a:extLst>
            <a:ext uri="{FF2B5EF4-FFF2-40B4-BE49-F238E27FC236}">
              <a16:creationId xmlns:a16="http://schemas.microsoft.com/office/drawing/2014/main" id="{5741CB43-E2C5-4CC9-BFC3-1F4072F2C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552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361950</xdr:colOff>
      <xdr:row>10</xdr:row>
      <xdr:rowOff>85725</xdr:rowOff>
    </xdr:from>
    <xdr:to>
      <xdr:col>1</xdr:col>
      <xdr:colOff>9525</xdr:colOff>
      <xdr:row>10</xdr:row>
      <xdr:rowOff>85725</xdr:rowOff>
    </xdr:to>
    <xdr:sp macro="" textlink="">
      <xdr:nvSpPr>
        <xdr:cNvPr id="67" name="Line 76">
          <a:extLst>
            <a:ext uri="{FF2B5EF4-FFF2-40B4-BE49-F238E27FC236}">
              <a16:creationId xmlns:a16="http://schemas.microsoft.com/office/drawing/2014/main" id="{38E5A671-9E1F-4558-978B-8B9AECEDF82C}"/>
            </a:ext>
          </a:extLst>
        </xdr:cNvPr>
        <xdr:cNvSpPr>
          <a:spLocks noChangeShapeType="1"/>
        </xdr:cNvSpPr>
      </xdr:nvSpPr>
      <xdr:spPr bwMode="auto">
        <a:xfrm>
          <a:off x="361950" y="17240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361950</xdr:colOff>
      <xdr:row>11</xdr:row>
      <xdr:rowOff>85725</xdr:rowOff>
    </xdr:from>
    <xdr:to>
      <xdr:col>1</xdr:col>
      <xdr:colOff>9525</xdr:colOff>
      <xdr:row>11</xdr:row>
      <xdr:rowOff>85725</xdr:rowOff>
    </xdr:to>
    <xdr:sp macro="" textlink="">
      <xdr:nvSpPr>
        <xdr:cNvPr id="68" name="Line 76">
          <a:extLst>
            <a:ext uri="{FF2B5EF4-FFF2-40B4-BE49-F238E27FC236}">
              <a16:creationId xmlns:a16="http://schemas.microsoft.com/office/drawing/2014/main" id="{FC347C5D-B0A7-4B1A-A997-2A63B72A53E9}"/>
            </a:ext>
          </a:extLst>
        </xdr:cNvPr>
        <xdr:cNvSpPr>
          <a:spLocks noChangeShapeType="1"/>
        </xdr:cNvSpPr>
      </xdr:nvSpPr>
      <xdr:spPr bwMode="auto">
        <a:xfrm>
          <a:off x="361950" y="18954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361950</xdr:colOff>
      <xdr:row>12</xdr:row>
      <xdr:rowOff>85725</xdr:rowOff>
    </xdr:from>
    <xdr:to>
      <xdr:col>1</xdr:col>
      <xdr:colOff>9525</xdr:colOff>
      <xdr:row>12</xdr:row>
      <xdr:rowOff>85725</xdr:rowOff>
    </xdr:to>
    <xdr:sp macro="" textlink="">
      <xdr:nvSpPr>
        <xdr:cNvPr id="69" name="Line 76">
          <a:extLst>
            <a:ext uri="{FF2B5EF4-FFF2-40B4-BE49-F238E27FC236}">
              <a16:creationId xmlns:a16="http://schemas.microsoft.com/office/drawing/2014/main" id="{A6247F0A-80A5-4521-BE7A-A43B303CB23C}"/>
            </a:ext>
          </a:extLst>
        </xdr:cNvPr>
        <xdr:cNvSpPr>
          <a:spLocks noChangeShapeType="1"/>
        </xdr:cNvSpPr>
      </xdr:nvSpPr>
      <xdr:spPr bwMode="auto">
        <a:xfrm>
          <a:off x="361950" y="20669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361950</xdr:colOff>
      <xdr:row>13</xdr:row>
      <xdr:rowOff>85725</xdr:rowOff>
    </xdr:from>
    <xdr:to>
      <xdr:col>1</xdr:col>
      <xdr:colOff>9525</xdr:colOff>
      <xdr:row>13</xdr:row>
      <xdr:rowOff>85725</xdr:rowOff>
    </xdr:to>
    <xdr:sp macro="" textlink="">
      <xdr:nvSpPr>
        <xdr:cNvPr id="70" name="Line 76">
          <a:extLst>
            <a:ext uri="{FF2B5EF4-FFF2-40B4-BE49-F238E27FC236}">
              <a16:creationId xmlns:a16="http://schemas.microsoft.com/office/drawing/2014/main" id="{71684F68-7E96-4459-919E-64E506BE03B0}"/>
            </a:ext>
          </a:extLst>
        </xdr:cNvPr>
        <xdr:cNvSpPr>
          <a:spLocks noChangeShapeType="1"/>
        </xdr:cNvSpPr>
      </xdr:nvSpPr>
      <xdr:spPr bwMode="auto">
        <a:xfrm>
          <a:off x="361950" y="22383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361950</xdr:colOff>
      <xdr:row>14</xdr:row>
      <xdr:rowOff>85725</xdr:rowOff>
    </xdr:from>
    <xdr:to>
      <xdr:col>1</xdr:col>
      <xdr:colOff>9525</xdr:colOff>
      <xdr:row>14</xdr:row>
      <xdr:rowOff>85725</xdr:rowOff>
    </xdr:to>
    <xdr:sp macro="" textlink="">
      <xdr:nvSpPr>
        <xdr:cNvPr id="71" name="Line 76">
          <a:extLst>
            <a:ext uri="{FF2B5EF4-FFF2-40B4-BE49-F238E27FC236}">
              <a16:creationId xmlns:a16="http://schemas.microsoft.com/office/drawing/2014/main" id="{5E7F28AD-FA6E-4019-A989-48A024FBDDED}"/>
            </a:ext>
          </a:extLst>
        </xdr:cNvPr>
        <xdr:cNvSpPr>
          <a:spLocks noChangeShapeType="1"/>
        </xdr:cNvSpPr>
      </xdr:nvSpPr>
      <xdr:spPr bwMode="auto">
        <a:xfrm>
          <a:off x="361950" y="24098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238125</xdr:colOff>
      <xdr:row>50</xdr:row>
      <xdr:rowOff>0</xdr:rowOff>
    </xdr:from>
    <xdr:to>
      <xdr:col>4</xdr:col>
      <xdr:colOff>0</xdr:colOff>
      <xdr:row>52</xdr:row>
      <xdr:rowOff>95250</xdr:rowOff>
    </xdr:to>
    <xdr:cxnSp macro="">
      <xdr:nvCxnSpPr>
        <xdr:cNvPr id="72" name="Gerader Verbinder 71">
          <a:extLst>
            <a:ext uri="{FF2B5EF4-FFF2-40B4-BE49-F238E27FC236}">
              <a16:creationId xmlns:a16="http://schemas.microsoft.com/office/drawing/2014/main" id="{33053002-CB4F-406B-A9B8-5EF39A2FF584}"/>
            </a:ext>
          </a:extLst>
        </xdr:cNvPr>
        <xdr:cNvCxnSpPr/>
      </xdr:nvCxnSpPr>
      <xdr:spPr>
        <a:xfrm flipV="1">
          <a:off x="781050" y="8639175"/>
          <a:ext cx="504825" cy="438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50</xdr:row>
      <xdr:rowOff>0</xdr:rowOff>
    </xdr:from>
    <xdr:to>
      <xdr:col>5</xdr:col>
      <xdr:colOff>19050</xdr:colOff>
      <xdr:row>52</xdr:row>
      <xdr:rowOff>95250</xdr:rowOff>
    </xdr:to>
    <xdr:cxnSp macro="">
      <xdr:nvCxnSpPr>
        <xdr:cNvPr id="73" name="Gerader Verbinder 72">
          <a:extLst>
            <a:ext uri="{FF2B5EF4-FFF2-40B4-BE49-F238E27FC236}">
              <a16:creationId xmlns:a16="http://schemas.microsoft.com/office/drawing/2014/main" id="{8D894011-A68D-43EE-9C77-C2A18FFC8B31}"/>
            </a:ext>
          </a:extLst>
        </xdr:cNvPr>
        <xdr:cNvCxnSpPr/>
      </xdr:nvCxnSpPr>
      <xdr:spPr>
        <a:xfrm flipV="1">
          <a:off x="1047750" y="8639175"/>
          <a:ext cx="504825" cy="438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49</xdr:row>
      <xdr:rowOff>171450</xdr:rowOff>
    </xdr:from>
    <xdr:to>
      <xdr:col>6</xdr:col>
      <xdr:colOff>57150</xdr:colOff>
      <xdr:row>52</xdr:row>
      <xdr:rowOff>85725</xdr:rowOff>
    </xdr:to>
    <xdr:cxnSp macro="">
      <xdr:nvCxnSpPr>
        <xdr:cNvPr id="74" name="Gerader Verbinder 73">
          <a:extLst>
            <a:ext uri="{FF2B5EF4-FFF2-40B4-BE49-F238E27FC236}">
              <a16:creationId xmlns:a16="http://schemas.microsoft.com/office/drawing/2014/main" id="{D6C0592A-7F14-4834-972A-01238D8F7C70}"/>
            </a:ext>
          </a:extLst>
        </xdr:cNvPr>
        <xdr:cNvCxnSpPr/>
      </xdr:nvCxnSpPr>
      <xdr:spPr>
        <a:xfrm flipV="1">
          <a:off x="1333500" y="8639175"/>
          <a:ext cx="504825" cy="428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514350</xdr:colOff>
      <xdr:row>49</xdr:row>
      <xdr:rowOff>171450</xdr:rowOff>
    </xdr:from>
    <xdr:to>
      <xdr:col>2</xdr:col>
      <xdr:colOff>228600</xdr:colOff>
      <xdr:row>52</xdr:row>
      <xdr:rowOff>85725</xdr:rowOff>
    </xdr:to>
    <xdr:cxnSp macro="">
      <xdr:nvCxnSpPr>
        <xdr:cNvPr id="75" name="Gerader Verbinder 74">
          <a:extLst>
            <a:ext uri="{FF2B5EF4-FFF2-40B4-BE49-F238E27FC236}">
              <a16:creationId xmlns:a16="http://schemas.microsoft.com/office/drawing/2014/main" id="{2BEA207C-6997-4EA4-BDE0-D22350E7F9B8}"/>
            </a:ext>
          </a:extLst>
        </xdr:cNvPr>
        <xdr:cNvCxnSpPr/>
      </xdr:nvCxnSpPr>
      <xdr:spPr>
        <a:xfrm flipV="1">
          <a:off x="514350" y="8639175"/>
          <a:ext cx="504825" cy="428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390525</xdr:colOff>
      <xdr:row>50</xdr:row>
      <xdr:rowOff>0</xdr:rowOff>
    </xdr:from>
    <xdr:to>
      <xdr:col>5</xdr:col>
      <xdr:colOff>180975</xdr:colOff>
      <xdr:row>52</xdr:row>
      <xdr:rowOff>95250</xdr:rowOff>
    </xdr:to>
    <xdr:grpSp>
      <xdr:nvGrpSpPr>
        <xdr:cNvPr id="76" name="Gruppieren 4">
          <a:extLst>
            <a:ext uri="{FF2B5EF4-FFF2-40B4-BE49-F238E27FC236}">
              <a16:creationId xmlns:a16="http://schemas.microsoft.com/office/drawing/2014/main" id="{DF1237F8-8194-48BE-9BC0-B7C385C9EF6F}"/>
            </a:ext>
          </a:extLst>
        </xdr:cNvPr>
        <xdr:cNvGrpSpPr>
          <a:grpSpLocks/>
        </xdr:cNvGrpSpPr>
      </xdr:nvGrpSpPr>
      <xdr:grpSpPr bwMode="auto">
        <a:xfrm>
          <a:off x="390525" y="8639175"/>
          <a:ext cx="1323975" cy="438150"/>
          <a:chOff x="666750" y="9029700"/>
          <a:chExt cx="1323975" cy="447675"/>
        </a:xfrm>
      </xdr:grpSpPr>
      <xdr:cxnSp macro="">
        <xdr:nvCxnSpPr>
          <xdr:cNvPr id="77" name="Gerader Verbinder 76">
            <a:extLst>
              <a:ext uri="{FF2B5EF4-FFF2-40B4-BE49-F238E27FC236}">
                <a16:creationId xmlns:a16="http://schemas.microsoft.com/office/drawing/2014/main" id="{EDF4C474-8A0C-4C0B-90AC-C19A15DA0F09}"/>
              </a:ext>
            </a:extLst>
          </xdr:cNvPr>
          <xdr:cNvCxnSpPr/>
        </xdr:nvCxnSpPr>
        <xdr:spPr>
          <a:xfrm flipV="1">
            <a:off x="933450" y="9039432"/>
            <a:ext cx="504825" cy="437943"/>
          </a:xfrm>
          <a:prstGeom prst="line">
            <a:avLst/>
          </a:prstGeom>
          <a:ln>
            <a:prstDash val="lgDash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8" name="Gerader Verbinder 77">
            <a:extLst>
              <a:ext uri="{FF2B5EF4-FFF2-40B4-BE49-F238E27FC236}">
                <a16:creationId xmlns:a16="http://schemas.microsoft.com/office/drawing/2014/main" id="{3B69ED15-F731-499A-8EA0-C5E4FBE623E0}"/>
              </a:ext>
            </a:extLst>
          </xdr:cNvPr>
          <xdr:cNvCxnSpPr/>
        </xdr:nvCxnSpPr>
        <xdr:spPr>
          <a:xfrm flipV="1">
            <a:off x="1200150" y="9039432"/>
            <a:ext cx="504825" cy="437943"/>
          </a:xfrm>
          <a:prstGeom prst="line">
            <a:avLst/>
          </a:prstGeom>
          <a:ln>
            <a:prstDash val="lgDash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9" name="Gerader Verbinder 78">
            <a:extLst>
              <a:ext uri="{FF2B5EF4-FFF2-40B4-BE49-F238E27FC236}">
                <a16:creationId xmlns:a16="http://schemas.microsoft.com/office/drawing/2014/main" id="{E6F456F2-8A2A-4212-B100-77BBE431CAD3}"/>
              </a:ext>
            </a:extLst>
          </xdr:cNvPr>
          <xdr:cNvCxnSpPr/>
        </xdr:nvCxnSpPr>
        <xdr:spPr>
          <a:xfrm flipV="1">
            <a:off x="1485900" y="9029700"/>
            <a:ext cx="504825" cy="437943"/>
          </a:xfrm>
          <a:prstGeom prst="line">
            <a:avLst/>
          </a:prstGeom>
          <a:ln>
            <a:prstDash val="lgDash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0" name="Gerader Verbinder 79">
            <a:extLst>
              <a:ext uri="{FF2B5EF4-FFF2-40B4-BE49-F238E27FC236}">
                <a16:creationId xmlns:a16="http://schemas.microsoft.com/office/drawing/2014/main" id="{DE9FE3D3-56EC-4FFE-81C3-996FF9712E77}"/>
              </a:ext>
            </a:extLst>
          </xdr:cNvPr>
          <xdr:cNvCxnSpPr/>
        </xdr:nvCxnSpPr>
        <xdr:spPr>
          <a:xfrm flipV="1">
            <a:off x="666750" y="9029700"/>
            <a:ext cx="504825" cy="437943"/>
          </a:xfrm>
          <a:prstGeom prst="line">
            <a:avLst/>
          </a:prstGeom>
          <a:ln>
            <a:prstDash val="lgDash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208371</xdr:colOff>
      <xdr:row>11</xdr:row>
      <xdr:rowOff>156763</xdr:rowOff>
    </xdr:from>
    <xdr:to>
      <xdr:col>13</xdr:col>
      <xdr:colOff>7854</xdr:colOff>
      <xdr:row>11</xdr:row>
      <xdr:rowOff>156763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CD6F5C3B-6031-4EBE-9DAD-95BC0CA50B21}"/>
            </a:ext>
          </a:extLst>
        </xdr:cNvPr>
        <xdr:cNvCxnSpPr/>
      </xdr:nvCxnSpPr>
      <xdr:spPr>
        <a:xfrm flipH="1">
          <a:off x="703671" y="1937938"/>
          <a:ext cx="2523633" cy="0"/>
        </a:xfrm>
        <a:prstGeom prst="straightConnector1">
          <a:avLst/>
        </a:prstGeom>
        <a:ln w="12700">
          <a:solidFill>
            <a:srgbClr val="C0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5443</xdr:colOff>
      <xdr:row>12</xdr:row>
      <xdr:rowOff>1008</xdr:rowOff>
    </xdr:from>
    <xdr:to>
      <xdr:col>13</xdr:col>
      <xdr:colOff>5443</xdr:colOff>
      <xdr:row>24</xdr:row>
      <xdr:rowOff>95183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957A4A13-FF00-4FB9-83E9-B2000FA43EB2}"/>
            </a:ext>
          </a:extLst>
        </xdr:cNvPr>
        <xdr:cNvCxnSpPr/>
      </xdr:nvCxnSpPr>
      <xdr:spPr>
        <a:xfrm>
          <a:off x="3224893" y="1944108"/>
          <a:ext cx="0" cy="2037275"/>
        </a:xfrm>
        <a:prstGeom prst="straightConnector1">
          <a:avLst/>
        </a:prstGeom>
        <a:ln w="12700">
          <a:solidFill>
            <a:srgbClr val="C0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27214</xdr:colOff>
      <xdr:row>11</xdr:row>
      <xdr:rowOff>164761</xdr:rowOff>
    </xdr:from>
    <xdr:to>
      <xdr:col>5</xdr:col>
      <xdr:colOff>27214</xdr:colOff>
      <xdr:row>14</xdr:row>
      <xdr:rowOff>3541</xdr:rowOff>
    </xdr:to>
    <xdr:cxnSp macro="">
      <xdr:nvCxnSpPr>
        <xdr:cNvPr id="4" name="Gerade Verbindung 2">
          <a:extLst>
            <a:ext uri="{FF2B5EF4-FFF2-40B4-BE49-F238E27FC236}">
              <a16:creationId xmlns:a16="http://schemas.microsoft.com/office/drawing/2014/main" id="{B89A0167-98B2-4620-95EC-D4A03B340418}"/>
            </a:ext>
          </a:extLst>
        </xdr:cNvPr>
        <xdr:cNvCxnSpPr/>
      </xdr:nvCxnSpPr>
      <xdr:spPr>
        <a:xfrm>
          <a:off x="1265464" y="1945936"/>
          <a:ext cx="0" cy="32455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7065</xdr:colOff>
      <xdr:row>18</xdr:row>
      <xdr:rowOff>4002</xdr:rowOff>
    </xdr:from>
    <xdr:to>
      <xdr:col>7</xdr:col>
      <xdr:colOff>7065</xdr:colOff>
      <xdr:row>21</xdr:row>
      <xdr:rowOff>10056</xdr:rowOff>
    </xdr:to>
    <xdr:cxnSp macro="">
      <xdr:nvCxnSpPr>
        <xdr:cNvPr id="5" name="Gerade Verbindung 12">
          <a:extLst>
            <a:ext uri="{FF2B5EF4-FFF2-40B4-BE49-F238E27FC236}">
              <a16:creationId xmlns:a16="http://schemas.microsoft.com/office/drawing/2014/main" id="{9A12F935-1A94-460F-8780-6323DFD2D9ED}"/>
            </a:ext>
          </a:extLst>
        </xdr:cNvPr>
        <xdr:cNvCxnSpPr/>
      </xdr:nvCxnSpPr>
      <xdr:spPr>
        <a:xfrm>
          <a:off x="1740615" y="2918652"/>
          <a:ext cx="0" cy="49182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28141</xdr:colOff>
      <xdr:row>14</xdr:row>
      <xdr:rowOff>4005</xdr:rowOff>
    </xdr:from>
    <xdr:to>
      <xdr:col>10</xdr:col>
      <xdr:colOff>715</xdr:colOff>
      <xdr:row>14</xdr:row>
      <xdr:rowOff>4005</xdr:rowOff>
    </xdr:to>
    <xdr:cxnSp macro="">
      <xdr:nvCxnSpPr>
        <xdr:cNvPr id="6" name="Gerade Verbindung 14">
          <a:extLst>
            <a:ext uri="{FF2B5EF4-FFF2-40B4-BE49-F238E27FC236}">
              <a16:creationId xmlns:a16="http://schemas.microsoft.com/office/drawing/2014/main" id="{8EA6EE3A-CBE0-4B72-BBFB-76287F6EE436}"/>
            </a:ext>
          </a:extLst>
        </xdr:cNvPr>
        <xdr:cNvCxnSpPr/>
      </xdr:nvCxnSpPr>
      <xdr:spPr>
        <a:xfrm>
          <a:off x="1266391" y="2270955"/>
          <a:ext cx="121082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7065</xdr:colOff>
      <xdr:row>14</xdr:row>
      <xdr:rowOff>5194</xdr:rowOff>
    </xdr:from>
    <xdr:to>
      <xdr:col>10</xdr:col>
      <xdr:colOff>7065</xdr:colOff>
      <xdr:row>17</xdr:row>
      <xdr:rowOff>147808</xdr:rowOff>
    </xdr:to>
    <xdr:cxnSp macro="">
      <xdr:nvCxnSpPr>
        <xdr:cNvPr id="7" name="Gerade Verbindung 16">
          <a:extLst>
            <a:ext uri="{FF2B5EF4-FFF2-40B4-BE49-F238E27FC236}">
              <a16:creationId xmlns:a16="http://schemas.microsoft.com/office/drawing/2014/main" id="{6C0741F4-42B9-445A-9E1E-0491B017B34D}"/>
            </a:ext>
          </a:extLst>
        </xdr:cNvPr>
        <xdr:cNvCxnSpPr/>
      </xdr:nvCxnSpPr>
      <xdr:spPr>
        <a:xfrm>
          <a:off x="2483565" y="2272144"/>
          <a:ext cx="0" cy="62838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6254</xdr:colOff>
      <xdr:row>18</xdr:row>
      <xdr:rowOff>7630</xdr:rowOff>
    </xdr:from>
    <xdr:to>
      <xdr:col>10</xdr:col>
      <xdr:colOff>8196</xdr:colOff>
      <xdr:row>18</xdr:row>
      <xdr:rowOff>3197</xdr:rowOff>
    </xdr:to>
    <xdr:cxnSp macro="">
      <xdr:nvCxnSpPr>
        <xdr:cNvPr id="8" name="Gerade Verbindung 19">
          <a:extLst>
            <a:ext uri="{FF2B5EF4-FFF2-40B4-BE49-F238E27FC236}">
              <a16:creationId xmlns:a16="http://schemas.microsoft.com/office/drawing/2014/main" id="{4A0C7847-034B-4494-9343-D8C239500FC2}"/>
            </a:ext>
          </a:extLst>
        </xdr:cNvPr>
        <xdr:cNvCxnSpPr/>
      </xdr:nvCxnSpPr>
      <xdr:spPr>
        <a:xfrm>
          <a:off x="1739804" y="2922280"/>
          <a:ext cx="74489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4633</xdr:colOff>
      <xdr:row>21</xdr:row>
      <xdr:rowOff>11504</xdr:rowOff>
    </xdr:from>
    <xdr:to>
      <xdr:col>13</xdr:col>
      <xdr:colOff>4053</xdr:colOff>
      <xdr:row>21</xdr:row>
      <xdr:rowOff>11504</xdr:rowOff>
    </xdr:to>
    <xdr:cxnSp macro="">
      <xdr:nvCxnSpPr>
        <xdr:cNvPr id="9" name="Gerade Verbindung 21">
          <a:extLst>
            <a:ext uri="{FF2B5EF4-FFF2-40B4-BE49-F238E27FC236}">
              <a16:creationId xmlns:a16="http://schemas.microsoft.com/office/drawing/2014/main" id="{89F79FAA-5641-46E7-8A04-1120B767B5B0}"/>
            </a:ext>
          </a:extLst>
        </xdr:cNvPr>
        <xdr:cNvCxnSpPr/>
      </xdr:nvCxnSpPr>
      <xdr:spPr>
        <a:xfrm>
          <a:off x="1738183" y="3411929"/>
          <a:ext cx="1485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27330</xdr:colOff>
      <xdr:row>12</xdr:row>
      <xdr:rowOff>1776</xdr:rowOff>
    </xdr:from>
    <xdr:to>
      <xdr:col>11</xdr:col>
      <xdr:colOff>26750</xdr:colOff>
      <xdr:row>12</xdr:row>
      <xdr:rowOff>1776</xdr:rowOff>
    </xdr:to>
    <xdr:cxnSp macro="">
      <xdr:nvCxnSpPr>
        <xdr:cNvPr id="10" name="Gerade Verbindung 23">
          <a:extLst>
            <a:ext uri="{FF2B5EF4-FFF2-40B4-BE49-F238E27FC236}">
              <a16:creationId xmlns:a16="http://schemas.microsoft.com/office/drawing/2014/main" id="{A6B13E49-D716-47F7-A559-356091467ABB}"/>
            </a:ext>
          </a:extLst>
        </xdr:cNvPr>
        <xdr:cNvCxnSpPr/>
      </xdr:nvCxnSpPr>
      <xdr:spPr>
        <a:xfrm>
          <a:off x="1265580" y="1944876"/>
          <a:ext cx="1485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29763</xdr:colOff>
      <xdr:row>12</xdr:row>
      <xdr:rowOff>962</xdr:rowOff>
    </xdr:from>
    <xdr:to>
      <xdr:col>13</xdr:col>
      <xdr:colOff>8107</xdr:colOff>
      <xdr:row>18</xdr:row>
      <xdr:rowOff>11338</xdr:rowOff>
    </xdr:to>
    <xdr:cxnSp macro="">
      <xdr:nvCxnSpPr>
        <xdr:cNvPr id="11" name="Gerade Verbindung 24">
          <a:extLst>
            <a:ext uri="{FF2B5EF4-FFF2-40B4-BE49-F238E27FC236}">
              <a16:creationId xmlns:a16="http://schemas.microsoft.com/office/drawing/2014/main" id="{C65E5178-D05D-49F6-9F02-B5F39EEF9221}"/>
            </a:ext>
          </a:extLst>
        </xdr:cNvPr>
        <xdr:cNvCxnSpPr/>
      </xdr:nvCxnSpPr>
      <xdr:spPr>
        <a:xfrm>
          <a:off x="2753913" y="1944062"/>
          <a:ext cx="473644" cy="98192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5444</xdr:colOff>
      <xdr:row>18</xdr:row>
      <xdr:rowOff>7626</xdr:rowOff>
    </xdr:from>
    <xdr:to>
      <xdr:col>13</xdr:col>
      <xdr:colOff>5444</xdr:colOff>
      <xdr:row>21</xdr:row>
      <xdr:rowOff>8354</xdr:rowOff>
    </xdr:to>
    <xdr:cxnSp macro="">
      <xdr:nvCxnSpPr>
        <xdr:cNvPr id="12" name="Gerade Verbindung 25">
          <a:extLst>
            <a:ext uri="{FF2B5EF4-FFF2-40B4-BE49-F238E27FC236}">
              <a16:creationId xmlns:a16="http://schemas.microsoft.com/office/drawing/2014/main" id="{7548115A-D14C-4511-8A9B-94A3ECBF5CE3}"/>
            </a:ext>
          </a:extLst>
        </xdr:cNvPr>
        <xdr:cNvCxnSpPr/>
      </xdr:nvCxnSpPr>
      <xdr:spPr>
        <a:xfrm>
          <a:off x="3224894" y="2922276"/>
          <a:ext cx="0" cy="48650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32425</xdr:colOff>
      <xdr:row>12</xdr:row>
      <xdr:rowOff>4552</xdr:rowOff>
    </xdr:from>
    <xdr:to>
      <xdr:col>11</xdr:col>
      <xdr:colOff>27248</xdr:colOff>
      <xdr:row>14</xdr:row>
      <xdr:rowOff>4604</xdr:rowOff>
    </xdr:to>
    <xdr:cxnSp macro="">
      <xdr:nvCxnSpPr>
        <xdr:cNvPr id="13" name="Gerade Verbindung 27">
          <a:extLst>
            <a:ext uri="{FF2B5EF4-FFF2-40B4-BE49-F238E27FC236}">
              <a16:creationId xmlns:a16="http://schemas.microsoft.com/office/drawing/2014/main" id="{65B01063-2604-4C35-A624-5629601633A9}"/>
            </a:ext>
          </a:extLst>
        </xdr:cNvPr>
        <xdr:cNvCxnSpPr/>
      </xdr:nvCxnSpPr>
      <xdr:spPr>
        <a:xfrm flipV="1">
          <a:off x="1270675" y="1947652"/>
          <a:ext cx="1480723" cy="32390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2431</xdr:colOff>
      <xdr:row>18</xdr:row>
      <xdr:rowOff>3197</xdr:rowOff>
    </xdr:from>
    <xdr:to>
      <xdr:col>13</xdr:col>
      <xdr:colOff>5476</xdr:colOff>
      <xdr:row>21</xdr:row>
      <xdr:rowOff>8451</xdr:rowOff>
    </xdr:to>
    <xdr:cxnSp macro="">
      <xdr:nvCxnSpPr>
        <xdr:cNvPr id="14" name="Gerade Verbindung 30">
          <a:extLst>
            <a:ext uri="{FF2B5EF4-FFF2-40B4-BE49-F238E27FC236}">
              <a16:creationId xmlns:a16="http://schemas.microsoft.com/office/drawing/2014/main" id="{558BE735-29F5-41AF-A140-32E77B6F1DA5}"/>
            </a:ext>
          </a:extLst>
        </xdr:cNvPr>
        <xdr:cNvCxnSpPr/>
      </xdr:nvCxnSpPr>
      <xdr:spPr>
        <a:xfrm flipV="1">
          <a:off x="1735981" y="2917847"/>
          <a:ext cx="1488945" cy="49102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16213</xdr:colOff>
      <xdr:row>18</xdr:row>
      <xdr:rowOff>7245</xdr:rowOff>
    </xdr:from>
    <xdr:to>
      <xdr:col>13</xdr:col>
      <xdr:colOff>715</xdr:colOff>
      <xdr:row>21</xdr:row>
      <xdr:rowOff>10118</xdr:rowOff>
    </xdr:to>
    <xdr:cxnSp macro="">
      <xdr:nvCxnSpPr>
        <xdr:cNvPr id="15" name="Gerade Verbindung 32">
          <a:extLst>
            <a:ext uri="{FF2B5EF4-FFF2-40B4-BE49-F238E27FC236}">
              <a16:creationId xmlns:a16="http://schemas.microsoft.com/office/drawing/2014/main" id="{13A095B2-53A9-4D69-A16E-30045B65F923}"/>
            </a:ext>
          </a:extLst>
        </xdr:cNvPr>
        <xdr:cNvCxnSpPr/>
      </xdr:nvCxnSpPr>
      <xdr:spPr>
        <a:xfrm>
          <a:off x="1749763" y="2921895"/>
          <a:ext cx="1470402" cy="4886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34858</xdr:colOff>
      <xdr:row>12</xdr:row>
      <xdr:rowOff>4204</xdr:rowOff>
    </xdr:from>
    <xdr:to>
      <xdr:col>11</xdr:col>
      <xdr:colOff>20266</xdr:colOff>
      <xdr:row>13</xdr:row>
      <xdr:rowOff>157349</xdr:rowOff>
    </xdr:to>
    <xdr:cxnSp macro="">
      <xdr:nvCxnSpPr>
        <xdr:cNvPr id="16" name="Gerade Verbindung 35">
          <a:extLst>
            <a:ext uri="{FF2B5EF4-FFF2-40B4-BE49-F238E27FC236}">
              <a16:creationId xmlns:a16="http://schemas.microsoft.com/office/drawing/2014/main" id="{3517C669-DBCA-49F8-B23A-45DE091F9C59}"/>
            </a:ext>
          </a:extLst>
        </xdr:cNvPr>
        <xdr:cNvCxnSpPr/>
      </xdr:nvCxnSpPr>
      <xdr:spPr>
        <a:xfrm>
          <a:off x="1273108" y="1947304"/>
          <a:ext cx="1471308" cy="31507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8196</xdr:colOff>
      <xdr:row>14</xdr:row>
      <xdr:rowOff>4384</xdr:rowOff>
    </xdr:from>
    <xdr:to>
      <xdr:col>11</xdr:col>
      <xdr:colOff>24319</xdr:colOff>
      <xdr:row>18</xdr:row>
      <xdr:rowOff>3197</xdr:rowOff>
    </xdr:to>
    <xdr:cxnSp macro="">
      <xdr:nvCxnSpPr>
        <xdr:cNvPr id="17" name="Gerade Verbindung 37">
          <a:extLst>
            <a:ext uri="{FF2B5EF4-FFF2-40B4-BE49-F238E27FC236}">
              <a16:creationId xmlns:a16="http://schemas.microsoft.com/office/drawing/2014/main" id="{EB20CF7F-BFE4-43CF-AA30-359B2B1C3D98}"/>
            </a:ext>
          </a:extLst>
        </xdr:cNvPr>
        <xdr:cNvCxnSpPr/>
      </xdr:nvCxnSpPr>
      <xdr:spPr>
        <a:xfrm flipV="1">
          <a:off x="2484696" y="2271334"/>
          <a:ext cx="263773" cy="646513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8108</xdr:colOff>
      <xdr:row>14</xdr:row>
      <xdr:rowOff>4584</xdr:rowOff>
    </xdr:from>
    <xdr:to>
      <xdr:col>11</xdr:col>
      <xdr:colOff>27248</xdr:colOff>
      <xdr:row>18</xdr:row>
      <xdr:rowOff>3197</xdr:rowOff>
    </xdr:to>
    <xdr:cxnSp macro="">
      <xdr:nvCxnSpPr>
        <xdr:cNvPr id="18" name="Gerade Verbindung 40">
          <a:extLst>
            <a:ext uri="{FF2B5EF4-FFF2-40B4-BE49-F238E27FC236}">
              <a16:creationId xmlns:a16="http://schemas.microsoft.com/office/drawing/2014/main" id="{B9093BA9-A51A-48D5-B5B6-D733905098EF}"/>
            </a:ext>
          </a:extLst>
        </xdr:cNvPr>
        <xdr:cNvCxnSpPr/>
      </xdr:nvCxnSpPr>
      <xdr:spPr>
        <a:xfrm flipH="1" flipV="1">
          <a:off x="2484608" y="2271534"/>
          <a:ext cx="266790" cy="646313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27248</xdr:colOff>
      <xdr:row>15</xdr:row>
      <xdr:rowOff>8637</xdr:rowOff>
    </xdr:from>
    <xdr:to>
      <xdr:col>13</xdr:col>
      <xdr:colOff>4053</xdr:colOff>
      <xdr:row>18</xdr:row>
      <xdr:rowOff>11298</xdr:rowOff>
    </xdr:to>
    <xdr:cxnSp macro="">
      <xdr:nvCxnSpPr>
        <xdr:cNvPr id="19" name="Gerade Verbindung 43">
          <a:extLst>
            <a:ext uri="{FF2B5EF4-FFF2-40B4-BE49-F238E27FC236}">
              <a16:creationId xmlns:a16="http://schemas.microsoft.com/office/drawing/2014/main" id="{4FBF6BCA-FDB3-47CA-BA7E-03236DE97013}"/>
            </a:ext>
          </a:extLst>
        </xdr:cNvPr>
        <xdr:cNvCxnSpPr/>
      </xdr:nvCxnSpPr>
      <xdr:spPr>
        <a:xfrm>
          <a:off x="2751398" y="2437512"/>
          <a:ext cx="472105" cy="48843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27248</xdr:colOff>
      <xdr:row>12</xdr:row>
      <xdr:rowOff>4552</xdr:rowOff>
    </xdr:from>
    <xdr:to>
      <xdr:col>12</xdr:col>
      <xdr:colOff>16362</xdr:colOff>
      <xdr:row>18</xdr:row>
      <xdr:rowOff>3216</xdr:rowOff>
    </xdr:to>
    <xdr:cxnSp macro="">
      <xdr:nvCxnSpPr>
        <xdr:cNvPr id="20" name="Gerade Verbindung 47">
          <a:extLst>
            <a:ext uri="{FF2B5EF4-FFF2-40B4-BE49-F238E27FC236}">
              <a16:creationId xmlns:a16="http://schemas.microsoft.com/office/drawing/2014/main" id="{90513257-EA31-4629-8C95-2F602A616780}"/>
            </a:ext>
          </a:extLst>
        </xdr:cNvPr>
        <xdr:cNvCxnSpPr/>
      </xdr:nvCxnSpPr>
      <xdr:spPr>
        <a:xfrm>
          <a:off x="2751398" y="1947652"/>
          <a:ext cx="236764" cy="970214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27248</xdr:colOff>
      <xdr:row>15</xdr:row>
      <xdr:rowOff>8637</xdr:rowOff>
    </xdr:from>
    <xdr:to>
      <xdr:col>12</xdr:col>
      <xdr:colOff>16362</xdr:colOff>
      <xdr:row>18</xdr:row>
      <xdr:rowOff>3197</xdr:rowOff>
    </xdr:to>
    <xdr:cxnSp macro="">
      <xdr:nvCxnSpPr>
        <xdr:cNvPr id="21" name="Gerade Verbindung 52">
          <a:extLst>
            <a:ext uri="{FF2B5EF4-FFF2-40B4-BE49-F238E27FC236}">
              <a16:creationId xmlns:a16="http://schemas.microsoft.com/office/drawing/2014/main" id="{7756E351-E0AE-482E-8A0B-7AE097EEE822}"/>
            </a:ext>
          </a:extLst>
        </xdr:cNvPr>
        <xdr:cNvCxnSpPr/>
      </xdr:nvCxnSpPr>
      <xdr:spPr>
        <a:xfrm flipV="1">
          <a:off x="2751398" y="2437512"/>
          <a:ext cx="236764" cy="480335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20266</xdr:colOff>
      <xdr:row>12</xdr:row>
      <xdr:rowOff>9879</xdr:rowOff>
    </xdr:from>
    <xdr:to>
      <xdr:col>11</xdr:col>
      <xdr:colOff>24320</xdr:colOff>
      <xdr:row>18</xdr:row>
      <xdr:rowOff>7252</xdr:rowOff>
    </xdr:to>
    <xdr:cxnSp macro="">
      <xdr:nvCxnSpPr>
        <xdr:cNvPr id="22" name="Gerade Verbindung 55">
          <a:extLst>
            <a:ext uri="{FF2B5EF4-FFF2-40B4-BE49-F238E27FC236}">
              <a16:creationId xmlns:a16="http://schemas.microsoft.com/office/drawing/2014/main" id="{983DE5FB-1D73-4E31-A79C-5FE185339474}"/>
            </a:ext>
          </a:extLst>
        </xdr:cNvPr>
        <xdr:cNvCxnSpPr/>
      </xdr:nvCxnSpPr>
      <xdr:spPr>
        <a:xfrm>
          <a:off x="2744416" y="1952979"/>
          <a:ext cx="4054" cy="968923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12160</xdr:colOff>
      <xdr:row>18</xdr:row>
      <xdr:rowOff>4384</xdr:rowOff>
    </xdr:from>
    <xdr:to>
      <xdr:col>12</xdr:col>
      <xdr:colOff>243191</xdr:colOff>
      <xdr:row>18</xdr:row>
      <xdr:rowOff>7245</xdr:rowOff>
    </xdr:to>
    <xdr:cxnSp macro="">
      <xdr:nvCxnSpPr>
        <xdr:cNvPr id="23" name="Gerade Verbindung 58">
          <a:extLst>
            <a:ext uri="{FF2B5EF4-FFF2-40B4-BE49-F238E27FC236}">
              <a16:creationId xmlns:a16="http://schemas.microsoft.com/office/drawing/2014/main" id="{6F3A85FA-A721-41AC-AA8A-0ED548D5BD8F}"/>
            </a:ext>
          </a:extLst>
        </xdr:cNvPr>
        <xdr:cNvCxnSpPr/>
      </xdr:nvCxnSpPr>
      <xdr:spPr>
        <a:xfrm>
          <a:off x="2488660" y="2919034"/>
          <a:ext cx="726331" cy="286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14592</xdr:colOff>
      <xdr:row>14</xdr:row>
      <xdr:rowOff>6815</xdr:rowOff>
    </xdr:from>
    <xdr:to>
      <xdr:col>11</xdr:col>
      <xdr:colOff>12160</xdr:colOff>
      <xdr:row>14</xdr:row>
      <xdr:rowOff>6815</xdr:rowOff>
    </xdr:to>
    <xdr:cxnSp macro="">
      <xdr:nvCxnSpPr>
        <xdr:cNvPr id="24" name="Gerade Verbindung 61">
          <a:extLst>
            <a:ext uri="{FF2B5EF4-FFF2-40B4-BE49-F238E27FC236}">
              <a16:creationId xmlns:a16="http://schemas.microsoft.com/office/drawing/2014/main" id="{A2C92802-67D0-4BFC-8304-AE7C408CBDC2}"/>
            </a:ext>
          </a:extLst>
        </xdr:cNvPr>
        <xdr:cNvCxnSpPr/>
      </xdr:nvCxnSpPr>
      <xdr:spPr>
        <a:xfrm>
          <a:off x="2491092" y="2273765"/>
          <a:ext cx="245218" cy="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236483</xdr:colOff>
      <xdr:row>11</xdr:row>
      <xdr:rowOff>82019</xdr:rowOff>
    </xdr:from>
    <xdr:to>
      <xdr:col>3</xdr:col>
      <xdr:colOff>236483</xdr:colOff>
      <xdr:row>21</xdr:row>
      <xdr:rowOff>111916</xdr:rowOff>
    </xdr:to>
    <xdr:cxnSp macro="">
      <xdr:nvCxnSpPr>
        <xdr:cNvPr id="25" name="Gerade Verbindung 64">
          <a:extLst>
            <a:ext uri="{FF2B5EF4-FFF2-40B4-BE49-F238E27FC236}">
              <a16:creationId xmlns:a16="http://schemas.microsoft.com/office/drawing/2014/main" id="{16CAFC39-A27E-478B-A8CE-B683CBE9B4CE}"/>
            </a:ext>
          </a:extLst>
        </xdr:cNvPr>
        <xdr:cNvCxnSpPr/>
      </xdr:nvCxnSpPr>
      <xdr:spPr>
        <a:xfrm>
          <a:off x="979433" y="1863194"/>
          <a:ext cx="0" cy="164914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144517</xdr:colOff>
      <xdr:row>18</xdr:row>
      <xdr:rowOff>3192</xdr:rowOff>
    </xdr:from>
    <xdr:to>
      <xdr:col>4</xdr:col>
      <xdr:colOff>91965</xdr:colOff>
      <xdr:row>18</xdr:row>
      <xdr:rowOff>3192</xdr:rowOff>
    </xdr:to>
    <xdr:cxnSp macro="">
      <xdr:nvCxnSpPr>
        <xdr:cNvPr id="26" name="Gerade Verbindung 66">
          <a:extLst>
            <a:ext uri="{FF2B5EF4-FFF2-40B4-BE49-F238E27FC236}">
              <a16:creationId xmlns:a16="http://schemas.microsoft.com/office/drawing/2014/main" id="{2CC2F4A7-FDE0-49D2-8459-15CA8E60D166}"/>
            </a:ext>
          </a:extLst>
        </xdr:cNvPr>
        <xdr:cNvCxnSpPr/>
      </xdr:nvCxnSpPr>
      <xdr:spPr>
        <a:xfrm>
          <a:off x="887467" y="2917842"/>
          <a:ext cx="1950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145829</xdr:colOff>
      <xdr:row>20</xdr:row>
      <xdr:rowOff>148908</xdr:rowOff>
    </xdr:from>
    <xdr:to>
      <xdr:col>4</xdr:col>
      <xdr:colOff>93278</xdr:colOff>
      <xdr:row>20</xdr:row>
      <xdr:rowOff>148908</xdr:rowOff>
    </xdr:to>
    <xdr:cxnSp macro="">
      <xdr:nvCxnSpPr>
        <xdr:cNvPr id="27" name="Gerade Verbindung 67">
          <a:extLst>
            <a:ext uri="{FF2B5EF4-FFF2-40B4-BE49-F238E27FC236}">
              <a16:creationId xmlns:a16="http://schemas.microsoft.com/office/drawing/2014/main" id="{B6948929-8FBE-4DC9-BDF7-DA628BDDAB77}"/>
            </a:ext>
          </a:extLst>
        </xdr:cNvPr>
        <xdr:cNvCxnSpPr/>
      </xdr:nvCxnSpPr>
      <xdr:spPr>
        <a:xfrm>
          <a:off x="888779" y="3387408"/>
          <a:ext cx="1950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145830</xdr:colOff>
      <xdr:row>14</xdr:row>
      <xdr:rowOff>5278</xdr:rowOff>
    </xdr:from>
    <xdr:to>
      <xdr:col>4</xdr:col>
      <xdr:colOff>93278</xdr:colOff>
      <xdr:row>14</xdr:row>
      <xdr:rowOff>5278</xdr:rowOff>
    </xdr:to>
    <xdr:cxnSp macro="">
      <xdr:nvCxnSpPr>
        <xdr:cNvPr id="28" name="Gerade Verbindung 69">
          <a:extLst>
            <a:ext uri="{FF2B5EF4-FFF2-40B4-BE49-F238E27FC236}">
              <a16:creationId xmlns:a16="http://schemas.microsoft.com/office/drawing/2014/main" id="{31ABC6A8-7E52-460D-B80A-F169E7D0152C}"/>
            </a:ext>
          </a:extLst>
        </xdr:cNvPr>
        <xdr:cNvCxnSpPr/>
      </xdr:nvCxnSpPr>
      <xdr:spPr>
        <a:xfrm>
          <a:off x="888780" y="2272228"/>
          <a:ext cx="1950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173420</xdr:colOff>
      <xdr:row>23</xdr:row>
      <xdr:rowOff>18958</xdr:rowOff>
    </xdr:from>
    <xdr:to>
      <xdr:col>13</xdr:col>
      <xdr:colOff>91966</xdr:colOff>
      <xdr:row>23</xdr:row>
      <xdr:rowOff>18958</xdr:rowOff>
    </xdr:to>
    <xdr:cxnSp macro="">
      <xdr:nvCxnSpPr>
        <xdr:cNvPr id="29" name="Gerade Verbindung 71">
          <a:extLst>
            <a:ext uri="{FF2B5EF4-FFF2-40B4-BE49-F238E27FC236}">
              <a16:creationId xmlns:a16="http://schemas.microsoft.com/office/drawing/2014/main" id="{592EA0FF-EFA6-4FE5-867F-1C9F3D772EC6}"/>
            </a:ext>
          </a:extLst>
        </xdr:cNvPr>
        <xdr:cNvCxnSpPr/>
      </xdr:nvCxnSpPr>
      <xdr:spPr>
        <a:xfrm>
          <a:off x="1164020" y="3743233"/>
          <a:ext cx="21473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22</xdr:row>
      <xdr:rowOff>101725</xdr:rowOff>
    </xdr:from>
    <xdr:to>
      <xdr:col>5</xdr:col>
      <xdr:colOff>0</xdr:colOff>
      <xdr:row>23</xdr:row>
      <xdr:rowOff>88587</xdr:rowOff>
    </xdr:to>
    <xdr:cxnSp macro="">
      <xdr:nvCxnSpPr>
        <xdr:cNvPr id="30" name="Gerade Verbindung 75">
          <a:extLst>
            <a:ext uri="{FF2B5EF4-FFF2-40B4-BE49-F238E27FC236}">
              <a16:creationId xmlns:a16="http://schemas.microsoft.com/office/drawing/2014/main" id="{0E9D217C-AD5C-45C8-A34D-4AB151AE0832}"/>
            </a:ext>
          </a:extLst>
        </xdr:cNvPr>
        <xdr:cNvCxnSpPr/>
      </xdr:nvCxnSpPr>
      <xdr:spPr>
        <a:xfrm flipV="1">
          <a:off x="1238250" y="3664075"/>
          <a:ext cx="0" cy="1487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7883</xdr:colOff>
      <xdr:row>22</xdr:row>
      <xdr:rowOff>103039</xdr:rowOff>
    </xdr:from>
    <xdr:to>
      <xdr:col>7</xdr:col>
      <xdr:colOff>7883</xdr:colOff>
      <xdr:row>23</xdr:row>
      <xdr:rowOff>89901</xdr:rowOff>
    </xdr:to>
    <xdr:cxnSp macro="">
      <xdr:nvCxnSpPr>
        <xdr:cNvPr id="31" name="Gerade Verbindung 76">
          <a:extLst>
            <a:ext uri="{FF2B5EF4-FFF2-40B4-BE49-F238E27FC236}">
              <a16:creationId xmlns:a16="http://schemas.microsoft.com/office/drawing/2014/main" id="{E1D21A8A-F71B-4E8F-8C6A-AF5570C2C3D3}"/>
            </a:ext>
          </a:extLst>
        </xdr:cNvPr>
        <xdr:cNvCxnSpPr/>
      </xdr:nvCxnSpPr>
      <xdr:spPr>
        <a:xfrm flipV="1">
          <a:off x="1741433" y="3665389"/>
          <a:ext cx="0" cy="1487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168164</xdr:colOff>
      <xdr:row>11</xdr:row>
      <xdr:rowOff>13703</xdr:rowOff>
    </xdr:from>
    <xdr:to>
      <xdr:col>13</xdr:col>
      <xdr:colOff>86710</xdr:colOff>
      <xdr:row>11</xdr:row>
      <xdr:rowOff>13703</xdr:rowOff>
    </xdr:to>
    <xdr:cxnSp macro="">
      <xdr:nvCxnSpPr>
        <xdr:cNvPr id="32" name="Gerade Verbindung 77">
          <a:extLst>
            <a:ext uri="{FF2B5EF4-FFF2-40B4-BE49-F238E27FC236}">
              <a16:creationId xmlns:a16="http://schemas.microsoft.com/office/drawing/2014/main" id="{B19A2D2E-ABD6-4D24-9785-08863C16DB81}"/>
            </a:ext>
          </a:extLst>
        </xdr:cNvPr>
        <xdr:cNvCxnSpPr/>
      </xdr:nvCxnSpPr>
      <xdr:spPr>
        <a:xfrm>
          <a:off x="1158764" y="1794878"/>
          <a:ext cx="21473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244365</xdr:colOff>
      <xdr:row>10</xdr:row>
      <xdr:rowOff>96470</xdr:rowOff>
    </xdr:from>
    <xdr:to>
      <xdr:col>4</xdr:col>
      <xdr:colOff>244365</xdr:colOff>
      <xdr:row>11</xdr:row>
      <xdr:rowOff>83332</xdr:rowOff>
    </xdr:to>
    <xdr:cxnSp macro="">
      <xdr:nvCxnSpPr>
        <xdr:cNvPr id="33" name="Gerade Verbindung 78">
          <a:extLst>
            <a:ext uri="{FF2B5EF4-FFF2-40B4-BE49-F238E27FC236}">
              <a16:creationId xmlns:a16="http://schemas.microsoft.com/office/drawing/2014/main" id="{1873A869-915F-4D9E-9954-A47A1145D95C}"/>
            </a:ext>
          </a:extLst>
        </xdr:cNvPr>
        <xdr:cNvCxnSpPr/>
      </xdr:nvCxnSpPr>
      <xdr:spPr>
        <a:xfrm flipV="1">
          <a:off x="1234965" y="1715720"/>
          <a:ext cx="0" cy="1487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9196</xdr:colOff>
      <xdr:row>10</xdr:row>
      <xdr:rowOff>110922</xdr:rowOff>
    </xdr:from>
    <xdr:to>
      <xdr:col>11</xdr:col>
      <xdr:colOff>9196</xdr:colOff>
      <xdr:row>11</xdr:row>
      <xdr:rowOff>97784</xdr:rowOff>
    </xdr:to>
    <xdr:cxnSp macro="">
      <xdr:nvCxnSpPr>
        <xdr:cNvPr id="34" name="Gerade Verbindung 79">
          <a:extLst>
            <a:ext uri="{FF2B5EF4-FFF2-40B4-BE49-F238E27FC236}">
              <a16:creationId xmlns:a16="http://schemas.microsoft.com/office/drawing/2014/main" id="{463A0FE7-466F-4860-8FDD-6F0F28EEBA74}"/>
            </a:ext>
          </a:extLst>
        </xdr:cNvPr>
        <xdr:cNvCxnSpPr/>
      </xdr:nvCxnSpPr>
      <xdr:spPr>
        <a:xfrm flipV="1">
          <a:off x="2733346" y="1730172"/>
          <a:ext cx="0" cy="1487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463</xdr:colOff>
      <xdr:row>10</xdr:row>
      <xdr:rowOff>105667</xdr:rowOff>
    </xdr:from>
    <xdr:to>
      <xdr:col>13</xdr:col>
      <xdr:colOff>463</xdr:colOff>
      <xdr:row>11</xdr:row>
      <xdr:rowOff>92529</xdr:rowOff>
    </xdr:to>
    <xdr:cxnSp macro="">
      <xdr:nvCxnSpPr>
        <xdr:cNvPr id="35" name="Gerade Verbindung 80">
          <a:extLst>
            <a:ext uri="{FF2B5EF4-FFF2-40B4-BE49-F238E27FC236}">
              <a16:creationId xmlns:a16="http://schemas.microsoft.com/office/drawing/2014/main" id="{0BC7F98A-CF04-4400-BEC5-04F9D224A0D4}"/>
            </a:ext>
          </a:extLst>
        </xdr:cNvPr>
        <xdr:cNvCxnSpPr/>
      </xdr:nvCxnSpPr>
      <xdr:spPr>
        <a:xfrm flipV="1">
          <a:off x="3219913" y="1724917"/>
          <a:ext cx="0" cy="1487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243052</xdr:colOff>
      <xdr:row>11</xdr:row>
      <xdr:rowOff>75449</xdr:rowOff>
    </xdr:from>
    <xdr:to>
      <xdr:col>14</xdr:col>
      <xdr:colOff>243052</xdr:colOff>
      <xdr:row>21</xdr:row>
      <xdr:rowOff>105346</xdr:rowOff>
    </xdr:to>
    <xdr:cxnSp macro="">
      <xdr:nvCxnSpPr>
        <xdr:cNvPr id="36" name="Gerade Verbindung 81">
          <a:extLst>
            <a:ext uri="{FF2B5EF4-FFF2-40B4-BE49-F238E27FC236}">
              <a16:creationId xmlns:a16="http://schemas.microsoft.com/office/drawing/2014/main" id="{6ADC8436-D0D4-4C37-9F6C-995892EA61C2}"/>
            </a:ext>
          </a:extLst>
        </xdr:cNvPr>
        <xdr:cNvCxnSpPr/>
      </xdr:nvCxnSpPr>
      <xdr:spPr>
        <a:xfrm>
          <a:off x="3710152" y="1856624"/>
          <a:ext cx="0" cy="164914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152398</xdr:colOff>
      <xdr:row>20</xdr:row>
      <xdr:rowOff>142338</xdr:rowOff>
    </xdr:from>
    <xdr:to>
      <xdr:col>15</xdr:col>
      <xdr:colOff>99848</xdr:colOff>
      <xdr:row>20</xdr:row>
      <xdr:rowOff>142338</xdr:rowOff>
    </xdr:to>
    <xdr:cxnSp macro="">
      <xdr:nvCxnSpPr>
        <xdr:cNvPr id="37" name="Gerade Verbindung 82">
          <a:extLst>
            <a:ext uri="{FF2B5EF4-FFF2-40B4-BE49-F238E27FC236}">
              <a16:creationId xmlns:a16="http://schemas.microsoft.com/office/drawing/2014/main" id="{B1363088-43F9-4688-9F73-F8C647237791}"/>
            </a:ext>
          </a:extLst>
        </xdr:cNvPr>
        <xdr:cNvCxnSpPr/>
      </xdr:nvCxnSpPr>
      <xdr:spPr>
        <a:xfrm>
          <a:off x="3619498" y="3380838"/>
          <a:ext cx="195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147143</xdr:colOff>
      <xdr:row>12</xdr:row>
      <xdr:rowOff>9432</xdr:rowOff>
    </xdr:from>
    <xdr:to>
      <xdr:col>15</xdr:col>
      <xdr:colOff>94593</xdr:colOff>
      <xdr:row>12</xdr:row>
      <xdr:rowOff>9432</xdr:rowOff>
    </xdr:to>
    <xdr:cxnSp macro="">
      <xdr:nvCxnSpPr>
        <xdr:cNvPr id="38" name="Gerade Verbindung 83">
          <a:extLst>
            <a:ext uri="{FF2B5EF4-FFF2-40B4-BE49-F238E27FC236}">
              <a16:creationId xmlns:a16="http://schemas.microsoft.com/office/drawing/2014/main" id="{E3C9C08F-1AF3-4AAC-8CB7-EA57FCC83663}"/>
            </a:ext>
          </a:extLst>
        </xdr:cNvPr>
        <xdr:cNvCxnSpPr/>
      </xdr:nvCxnSpPr>
      <xdr:spPr>
        <a:xfrm>
          <a:off x="3614243" y="1952532"/>
          <a:ext cx="195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155025</xdr:colOff>
      <xdr:row>18</xdr:row>
      <xdr:rowOff>7906</xdr:rowOff>
    </xdr:from>
    <xdr:to>
      <xdr:col>15</xdr:col>
      <xdr:colOff>102475</xdr:colOff>
      <xdr:row>18</xdr:row>
      <xdr:rowOff>7906</xdr:rowOff>
    </xdr:to>
    <xdr:cxnSp macro="">
      <xdr:nvCxnSpPr>
        <xdr:cNvPr id="39" name="Gerade Verbindung 84">
          <a:extLst>
            <a:ext uri="{FF2B5EF4-FFF2-40B4-BE49-F238E27FC236}">
              <a16:creationId xmlns:a16="http://schemas.microsoft.com/office/drawing/2014/main" id="{19DA16E0-ED16-4592-BCBE-661796831C3E}"/>
            </a:ext>
          </a:extLst>
        </xdr:cNvPr>
        <xdr:cNvCxnSpPr/>
      </xdr:nvCxnSpPr>
      <xdr:spPr>
        <a:xfrm>
          <a:off x="3622125" y="2922556"/>
          <a:ext cx="195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238125</xdr:colOff>
      <xdr:row>8</xdr:row>
      <xdr:rowOff>0</xdr:rowOff>
    </xdr:from>
    <xdr:to>
      <xdr:col>20</xdr:col>
      <xdr:colOff>247650</xdr:colOff>
      <xdr:row>26</xdr:row>
      <xdr:rowOff>9525</xdr:rowOff>
    </xdr:to>
    <xdr:sp macro="" textlink="">
      <xdr:nvSpPr>
        <xdr:cNvPr id="40" name="Rectangle 1047">
          <a:extLst>
            <a:ext uri="{FF2B5EF4-FFF2-40B4-BE49-F238E27FC236}">
              <a16:creationId xmlns:a16="http://schemas.microsoft.com/office/drawing/2014/main" id="{8F7582C2-EE3A-43DF-A1A6-6F24BA1D04FC}"/>
            </a:ext>
          </a:extLst>
        </xdr:cNvPr>
        <xdr:cNvSpPr>
          <a:spLocks noChangeArrowheads="1"/>
        </xdr:cNvSpPr>
      </xdr:nvSpPr>
      <xdr:spPr bwMode="auto">
        <a:xfrm>
          <a:off x="485775" y="1295400"/>
          <a:ext cx="4714875" cy="29241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0</xdr:col>
      <xdr:colOff>57150</xdr:colOff>
      <xdr:row>0</xdr:row>
      <xdr:rowOff>76200</xdr:rowOff>
    </xdr:from>
    <xdr:to>
      <xdr:col>2</xdr:col>
      <xdr:colOff>114300</xdr:colOff>
      <xdr:row>4</xdr:row>
      <xdr:rowOff>0</xdr:rowOff>
    </xdr:to>
    <xdr:pic>
      <xdr:nvPicPr>
        <xdr:cNvPr id="41" name="Grafik 42">
          <a:extLst>
            <a:ext uri="{FF2B5EF4-FFF2-40B4-BE49-F238E27FC236}">
              <a16:creationId xmlns:a16="http://schemas.microsoft.com/office/drawing/2014/main" id="{2367A66C-AE5F-45D0-A4B1-D929CAAF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552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5953</xdr:colOff>
      <xdr:row>7</xdr:row>
      <xdr:rowOff>155120</xdr:rowOff>
    </xdr:from>
    <xdr:to>
      <xdr:col>21</xdr:col>
      <xdr:colOff>220949</xdr:colOff>
      <xdr:row>7</xdr:row>
      <xdr:rowOff>155120</xdr:rowOff>
    </xdr:to>
    <xdr:cxnSp macro="">
      <xdr:nvCxnSpPr>
        <xdr:cNvPr id="2" name="Gerade Verbindung 2">
          <a:extLst>
            <a:ext uri="{FF2B5EF4-FFF2-40B4-BE49-F238E27FC236}">
              <a16:creationId xmlns:a16="http://schemas.microsoft.com/office/drawing/2014/main" id="{1C5C6439-89B8-47AB-B681-F81603D4AD40}"/>
            </a:ext>
          </a:extLst>
        </xdr:cNvPr>
        <xdr:cNvCxnSpPr/>
      </xdr:nvCxnSpPr>
      <xdr:spPr>
        <a:xfrm>
          <a:off x="3968353" y="1374320"/>
          <a:ext cx="1453246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216349</xdr:colOff>
      <xdr:row>7</xdr:row>
      <xdr:rowOff>163284</xdr:rowOff>
    </xdr:from>
    <xdr:to>
      <xdr:col>17</xdr:col>
      <xdr:colOff>38095</xdr:colOff>
      <xdr:row>8</xdr:row>
      <xdr:rowOff>30262</xdr:rowOff>
    </xdr:to>
    <xdr:sp macro="" textlink="">
      <xdr:nvSpPr>
        <xdr:cNvPr id="3" name="Gleichschenkliges Dreieck 2">
          <a:extLst>
            <a:ext uri="{FF2B5EF4-FFF2-40B4-BE49-F238E27FC236}">
              <a16:creationId xmlns:a16="http://schemas.microsoft.com/office/drawing/2014/main" id="{965F8930-EEF7-4E8F-B028-E40A80454987}"/>
            </a:ext>
          </a:extLst>
        </xdr:cNvPr>
        <xdr:cNvSpPr/>
      </xdr:nvSpPr>
      <xdr:spPr>
        <a:xfrm>
          <a:off x="4178749" y="1382484"/>
          <a:ext cx="69396" cy="57478"/>
        </a:xfrm>
        <a:prstGeom prst="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20</xdr:col>
      <xdr:colOff>206823</xdr:colOff>
      <xdr:row>7</xdr:row>
      <xdr:rowOff>163283</xdr:rowOff>
    </xdr:from>
    <xdr:to>
      <xdr:col>21</xdr:col>
      <xdr:colOff>28569</xdr:colOff>
      <xdr:row>8</xdr:row>
      <xdr:rowOff>30261</xdr:rowOff>
    </xdr:to>
    <xdr:sp macro="" textlink="">
      <xdr:nvSpPr>
        <xdr:cNvPr id="4" name="Gleichschenkliges Dreieck 3">
          <a:extLst>
            <a:ext uri="{FF2B5EF4-FFF2-40B4-BE49-F238E27FC236}">
              <a16:creationId xmlns:a16="http://schemas.microsoft.com/office/drawing/2014/main" id="{F5D0B2A5-F4DC-4504-BC25-53165D6716C6}"/>
            </a:ext>
          </a:extLst>
        </xdr:cNvPr>
        <xdr:cNvSpPr/>
      </xdr:nvSpPr>
      <xdr:spPr>
        <a:xfrm>
          <a:off x="5159823" y="1382483"/>
          <a:ext cx="69396" cy="57478"/>
        </a:xfrm>
        <a:prstGeom prst="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18</xdr:col>
      <xdr:colOff>216343</xdr:colOff>
      <xdr:row>7</xdr:row>
      <xdr:rowOff>157841</xdr:rowOff>
    </xdr:from>
    <xdr:to>
      <xdr:col>19</xdr:col>
      <xdr:colOff>38089</xdr:colOff>
      <xdr:row>8</xdr:row>
      <xdr:rowOff>24819</xdr:rowOff>
    </xdr:to>
    <xdr:sp macro="" textlink="">
      <xdr:nvSpPr>
        <xdr:cNvPr id="5" name="Gleichschenkliges Dreieck 4">
          <a:extLst>
            <a:ext uri="{FF2B5EF4-FFF2-40B4-BE49-F238E27FC236}">
              <a16:creationId xmlns:a16="http://schemas.microsoft.com/office/drawing/2014/main" id="{9E3B72F7-9516-4257-90CE-0A326C0EA171}"/>
            </a:ext>
          </a:extLst>
        </xdr:cNvPr>
        <xdr:cNvSpPr/>
      </xdr:nvSpPr>
      <xdr:spPr>
        <a:xfrm>
          <a:off x="4674043" y="1377041"/>
          <a:ext cx="69396" cy="57478"/>
        </a:xfrm>
        <a:prstGeom prst="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16</xdr:col>
      <xdr:colOff>5953</xdr:colOff>
      <xdr:row>7</xdr:row>
      <xdr:rowOff>46263</xdr:rowOff>
    </xdr:from>
    <xdr:to>
      <xdr:col>21</xdr:col>
      <xdr:colOff>220949</xdr:colOff>
      <xdr:row>7</xdr:row>
      <xdr:rowOff>46263</xdr:rowOff>
    </xdr:to>
    <xdr:cxnSp macro="">
      <xdr:nvCxnSpPr>
        <xdr:cNvPr id="6" name="Gerade Verbindung 6">
          <a:extLst>
            <a:ext uri="{FF2B5EF4-FFF2-40B4-BE49-F238E27FC236}">
              <a16:creationId xmlns:a16="http://schemas.microsoft.com/office/drawing/2014/main" id="{7E9BE777-1D98-4F29-AD24-2846E182622B}"/>
            </a:ext>
          </a:extLst>
        </xdr:cNvPr>
        <xdr:cNvCxnSpPr/>
      </xdr:nvCxnSpPr>
      <xdr:spPr>
        <a:xfrm>
          <a:off x="3968353" y="1265463"/>
          <a:ext cx="14532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5953</xdr:colOff>
      <xdr:row>6</xdr:row>
      <xdr:rowOff>155121</xdr:rowOff>
    </xdr:from>
    <xdr:to>
      <xdr:col>21</xdr:col>
      <xdr:colOff>220949</xdr:colOff>
      <xdr:row>6</xdr:row>
      <xdr:rowOff>155121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C187FDCF-52A6-4CC9-8CDA-5371056793F5}"/>
            </a:ext>
          </a:extLst>
        </xdr:cNvPr>
        <xdr:cNvCxnSpPr/>
      </xdr:nvCxnSpPr>
      <xdr:spPr>
        <a:xfrm>
          <a:off x="3968353" y="1183821"/>
          <a:ext cx="14532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4239</xdr:colOff>
      <xdr:row>6</xdr:row>
      <xdr:rowOff>157655</xdr:rowOff>
    </xdr:from>
    <xdr:to>
      <xdr:col>16</xdr:col>
      <xdr:colOff>4239</xdr:colOff>
      <xdr:row>7</xdr:row>
      <xdr:rowOff>152400</xdr:rowOff>
    </xdr:to>
    <xdr:cxnSp macro="">
      <xdr:nvCxnSpPr>
        <xdr:cNvPr id="8" name="Gerade Verbindung 9">
          <a:extLst>
            <a:ext uri="{FF2B5EF4-FFF2-40B4-BE49-F238E27FC236}">
              <a16:creationId xmlns:a16="http://schemas.microsoft.com/office/drawing/2014/main" id="{A68C4BA3-853C-494A-9EBC-4A37570BB1C8}"/>
            </a:ext>
          </a:extLst>
        </xdr:cNvPr>
        <xdr:cNvCxnSpPr/>
      </xdr:nvCxnSpPr>
      <xdr:spPr>
        <a:xfrm>
          <a:off x="3966639" y="1186355"/>
          <a:ext cx="0" cy="18524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218225</xdr:colOff>
      <xdr:row>6</xdr:row>
      <xdr:rowOff>146957</xdr:rowOff>
    </xdr:from>
    <xdr:to>
      <xdr:col>21</xdr:col>
      <xdr:colOff>218225</xdr:colOff>
      <xdr:row>7</xdr:row>
      <xdr:rowOff>152400</xdr:rowOff>
    </xdr:to>
    <xdr:cxnSp macro="">
      <xdr:nvCxnSpPr>
        <xdr:cNvPr id="9" name="Gerade Verbindung 10">
          <a:extLst>
            <a:ext uri="{FF2B5EF4-FFF2-40B4-BE49-F238E27FC236}">
              <a16:creationId xmlns:a16="http://schemas.microsoft.com/office/drawing/2014/main" id="{F5B08663-6F84-4A0D-BABD-4F2D99FD48E0}"/>
            </a:ext>
          </a:extLst>
        </xdr:cNvPr>
        <xdr:cNvCxnSpPr/>
      </xdr:nvCxnSpPr>
      <xdr:spPr>
        <a:xfrm>
          <a:off x="5418875" y="1175657"/>
          <a:ext cx="0" cy="19594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198492</xdr:colOff>
      <xdr:row>6</xdr:row>
      <xdr:rowOff>158864</xdr:rowOff>
    </xdr:from>
    <xdr:to>
      <xdr:col>19</xdr:col>
      <xdr:colOff>198492</xdr:colOff>
      <xdr:row>7</xdr:row>
      <xdr:rowOff>158864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9D9190E7-AD3D-44DF-9D5A-0867ACDE2CEB}"/>
            </a:ext>
          </a:extLst>
        </xdr:cNvPr>
        <xdr:cNvCxnSpPr/>
      </xdr:nvCxnSpPr>
      <xdr:spPr>
        <a:xfrm>
          <a:off x="4903842" y="1187564"/>
          <a:ext cx="0" cy="190500"/>
        </a:xfrm>
        <a:prstGeom prst="straightConnector1">
          <a:avLst/>
        </a:prstGeom>
        <a:ln>
          <a:solidFill>
            <a:schemeClr val="tx1"/>
          </a:solidFill>
          <a:tailEnd type="stealth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114128</xdr:colOff>
      <xdr:row>6</xdr:row>
      <xdr:rowOff>158354</xdr:rowOff>
    </xdr:from>
    <xdr:to>
      <xdr:col>20</xdr:col>
      <xdr:colOff>114128</xdr:colOff>
      <xdr:row>7</xdr:row>
      <xdr:rowOff>158354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A72783D8-79A1-4F7A-8C05-6198B2D44A2E}"/>
            </a:ext>
          </a:extLst>
        </xdr:cNvPr>
        <xdr:cNvCxnSpPr/>
      </xdr:nvCxnSpPr>
      <xdr:spPr>
        <a:xfrm>
          <a:off x="5067128" y="1187054"/>
          <a:ext cx="0" cy="190500"/>
        </a:xfrm>
        <a:prstGeom prst="straightConnector1">
          <a:avLst/>
        </a:prstGeom>
        <a:ln>
          <a:solidFill>
            <a:schemeClr val="tx1"/>
          </a:solidFill>
          <a:tailEnd type="stealth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31464</xdr:colOff>
      <xdr:row>6</xdr:row>
      <xdr:rowOff>158354</xdr:rowOff>
    </xdr:from>
    <xdr:to>
      <xdr:col>20</xdr:col>
      <xdr:colOff>31464</xdr:colOff>
      <xdr:row>7</xdr:row>
      <xdr:rowOff>158354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E85648A0-CACB-4C00-A152-40AFBAF4E52C}"/>
            </a:ext>
          </a:extLst>
        </xdr:cNvPr>
        <xdr:cNvCxnSpPr/>
      </xdr:nvCxnSpPr>
      <xdr:spPr>
        <a:xfrm>
          <a:off x="4984464" y="1187054"/>
          <a:ext cx="0" cy="190500"/>
        </a:xfrm>
        <a:prstGeom prst="straightConnector1">
          <a:avLst/>
        </a:prstGeom>
        <a:ln>
          <a:solidFill>
            <a:schemeClr val="tx1"/>
          </a:solidFill>
          <a:tailEnd type="stealth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114470</xdr:colOff>
      <xdr:row>6</xdr:row>
      <xdr:rowOff>158354</xdr:rowOff>
    </xdr:from>
    <xdr:to>
      <xdr:col>19</xdr:col>
      <xdr:colOff>114470</xdr:colOff>
      <xdr:row>7</xdr:row>
      <xdr:rowOff>158354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9F24CD47-8907-4806-993B-5C64D73C4FF7}"/>
            </a:ext>
          </a:extLst>
        </xdr:cNvPr>
        <xdr:cNvCxnSpPr/>
      </xdr:nvCxnSpPr>
      <xdr:spPr>
        <a:xfrm>
          <a:off x="4819820" y="1187054"/>
          <a:ext cx="0" cy="190500"/>
        </a:xfrm>
        <a:prstGeom prst="straightConnector1">
          <a:avLst/>
        </a:prstGeom>
        <a:ln>
          <a:solidFill>
            <a:schemeClr val="tx1"/>
          </a:solidFill>
          <a:tailEnd type="stealth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201706</xdr:colOff>
      <xdr:row>70</xdr:row>
      <xdr:rowOff>44822</xdr:rowOff>
    </xdr:from>
    <xdr:to>
      <xdr:col>14</xdr:col>
      <xdr:colOff>55559</xdr:colOff>
      <xdr:row>83</xdr:row>
      <xdr:rowOff>38100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A759EEE6-0ED2-4D89-8146-04421613B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23899</xdr:colOff>
      <xdr:row>83</xdr:row>
      <xdr:rowOff>48049</xdr:rowOff>
    </xdr:from>
    <xdr:to>
      <xdr:col>13</xdr:col>
      <xdr:colOff>140894</xdr:colOff>
      <xdr:row>95</xdr:row>
      <xdr:rowOff>156167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BF310E3B-7146-4175-80D9-2E9A8AA1E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76200</xdr:rowOff>
    </xdr:from>
    <xdr:to>
      <xdr:col>2</xdr:col>
      <xdr:colOff>114300</xdr:colOff>
      <xdr:row>4</xdr:row>
      <xdr:rowOff>0</xdr:rowOff>
    </xdr:to>
    <xdr:pic>
      <xdr:nvPicPr>
        <xdr:cNvPr id="17" name="Grafik 80">
          <a:extLst>
            <a:ext uri="{FF2B5EF4-FFF2-40B4-BE49-F238E27FC236}">
              <a16:creationId xmlns:a16="http://schemas.microsoft.com/office/drawing/2014/main" id="{01CD9674-364F-480F-AEB8-F66256673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552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har\Google%20Drive\STATIKKLASSE\04%20SOFTWARE\!!!%20BSP\BSP%201%20Bemessungssoftware\BSP%201_ma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ORAMA"/>
      <sheetName val="zentrales KS"/>
      <sheetName val="Kippsicherheit"/>
      <sheetName val="Einfeldträger 01"/>
      <sheetName val="Einfeldträger 02"/>
      <sheetName val="gen.Einfeldträger"/>
      <sheetName val="Kragträger"/>
      <sheetName val="gekn. Einfeldträger"/>
      <sheetName val="Lastaufstellung"/>
      <sheetName val="Schwerpunkt 01"/>
      <sheetName val="Trägheitsmoment 01"/>
      <sheetName val="Trägheitsmoment 02"/>
      <sheetName val="TrägerSpannung 01"/>
      <sheetName val="TrägerSpannung 02"/>
      <sheetName val="TrägerSpannung 03"/>
      <sheetName val="Gerberträger"/>
      <sheetName val="Fachwerk"/>
      <sheetName val="MohrscheAnalogie"/>
      <sheetName val="3Gelenkrahmen"/>
      <sheetName val="INFOBOX"/>
      <sheetName val="Tabelle1"/>
    </sheetNames>
    <sheetDataSet>
      <sheetData sheetId="0" refreshError="1"/>
      <sheetData sheetId="1"/>
      <sheetData sheetId="2"/>
      <sheetData sheetId="3">
        <row r="103">
          <cell r="AA103">
            <v>0</v>
          </cell>
        </row>
      </sheetData>
      <sheetData sheetId="4">
        <row r="73">
          <cell r="B73">
            <v>0</v>
          </cell>
        </row>
      </sheetData>
      <sheetData sheetId="5">
        <row r="116">
          <cell r="C116">
            <v>0</v>
          </cell>
        </row>
      </sheetData>
      <sheetData sheetId="6">
        <row r="89">
          <cell r="C89">
            <v>0</v>
          </cell>
        </row>
      </sheetData>
      <sheetData sheetId="7">
        <row r="112">
          <cell r="B112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57">
          <cell r="B57">
            <v>0</v>
          </cell>
        </row>
      </sheetData>
      <sheetData sheetId="15">
        <row r="104">
          <cell r="B104">
            <v>0</v>
          </cell>
        </row>
      </sheetData>
      <sheetData sheetId="16" refreshError="1"/>
      <sheetData sheetId="17">
        <row r="56">
          <cell r="B56">
            <v>0</v>
          </cell>
        </row>
      </sheetData>
      <sheetData sheetId="18"/>
      <sheetData sheetId="19">
        <row r="2">
          <cell r="B2" t="str">
            <v>Max Mustermann</v>
          </cell>
        </row>
        <row r="7">
          <cell r="B7" t="str">
            <v>v 1.0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ikklasse.a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tatikklasse.a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tatikklasse.a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tatikklasse.a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tatikklasse.a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office@statikklasse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DC9FE-CF2E-4905-B7C7-E2721D5A8EFB}">
  <dimension ref="B3:F47"/>
  <sheetViews>
    <sheetView showGridLines="0" tabSelected="1" zoomScale="70" zoomScaleNormal="70" workbookViewId="0">
      <selection activeCell="H30" sqref="H30"/>
    </sheetView>
  </sheetViews>
  <sheetFormatPr baseColWidth="10" defaultRowHeight="12.75" x14ac:dyDescent="0.2"/>
  <cols>
    <col min="1" max="1" width="3.85546875" style="50" customWidth="1"/>
    <col min="2" max="2" width="11.5703125" style="50" customWidth="1"/>
    <col min="3" max="3" width="50.85546875" style="50" customWidth="1"/>
    <col min="4" max="4" width="5.5703125" style="50" customWidth="1"/>
    <col min="5" max="5" width="11.5703125" style="50" customWidth="1"/>
    <col min="6" max="6" width="50.85546875" style="50" customWidth="1"/>
    <col min="7" max="256" width="11.42578125" style="50"/>
    <col min="257" max="257" width="3.85546875" style="50" customWidth="1"/>
    <col min="258" max="258" width="11.5703125" style="50" customWidth="1"/>
    <col min="259" max="259" width="50.85546875" style="50" customWidth="1"/>
    <col min="260" max="260" width="5.5703125" style="50" customWidth="1"/>
    <col min="261" max="261" width="11.5703125" style="50" customWidth="1"/>
    <col min="262" max="262" width="50.85546875" style="50" customWidth="1"/>
    <col min="263" max="512" width="11.42578125" style="50"/>
    <col min="513" max="513" width="3.85546875" style="50" customWidth="1"/>
    <col min="514" max="514" width="11.5703125" style="50" customWidth="1"/>
    <col min="515" max="515" width="50.85546875" style="50" customWidth="1"/>
    <col min="516" max="516" width="5.5703125" style="50" customWidth="1"/>
    <col min="517" max="517" width="11.5703125" style="50" customWidth="1"/>
    <col min="518" max="518" width="50.85546875" style="50" customWidth="1"/>
    <col min="519" max="768" width="11.42578125" style="50"/>
    <col min="769" max="769" width="3.85546875" style="50" customWidth="1"/>
    <col min="770" max="770" width="11.5703125" style="50" customWidth="1"/>
    <col min="771" max="771" width="50.85546875" style="50" customWidth="1"/>
    <col min="772" max="772" width="5.5703125" style="50" customWidth="1"/>
    <col min="773" max="773" width="11.5703125" style="50" customWidth="1"/>
    <col min="774" max="774" width="50.85546875" style="50" customWidth="1"/>
    <col min="775" max="1024" width="11.42578125" style="50"/>
    <col min="1025" max="1025" width="3.85546875" style="50" customWidth="1"/>
    <col min="1026" max="1026" width="11.5703125" style="50" customWidth="1"/>
    <col min="1027" max="1027" width="50.85546875" style="50" customWidth="1"/>
    <col min="1028" max="1028" width="5.5703125" style="50" customWidth="1"/>
    <col min="1029" max="1029" width="11.5703125" style="50" customWidth="1"/>
    <col min="1030" max="1030" width="50.85546875" style="50" customWidth="1"/>
    <col min="1031" max="1280" width="11.42578125" style="50"/>
    <col min="1281" max="1281" width="3.85546875" style="50" customWidth="1"/>
    <col min="1282" max="1282" width="11.5703125" style="50" customWidth="1"/>
    <col min="1283" max="1283" width="50.85546875" style="50" customWidth="1"/>
    <col min="1284" max="1284" width="5.5703125" style="50" customWidth="1"/>
    <col min="1285" max="1285" width="11.5703125" style="50" customWidth="1"/>
    <col min="1286" max="1286" width="50.85546875" style="50" customWidth="1"/>
    <col min="1287" max="1536" width="11.42578125" style="50"/>
    <col min="1537" max="1537" width="3.85546875" style="50" customWidth="1"/>
    <col min="1538" max="1538" width="11.5703125" style="50" customWidth="1"/>
    <col min="1539" max="1539" width="50.85546875" style="50" customWidth="1"/>
    <col min="1540" max="1540" width="5.5703125" style="50" customWidth="1"/>
    <col min="1541" max="1541" width="11.5703125" style="50" customWidth="1"/>
    <col min="1542" max="1542" width="50.85546875" style="50" customWidth="1"/>
    <col min="1543" max="1792" width="11.42578125" style="50"/>
    <col min="1793" max="1793" width="3.85546875" style="50" customWidth="1"/>
    <col min="1794" max="1794" width="11.5703125" style="50" customWidth="1"/>
    <col min="1795" max="1795" width="50.85546875" style="50" customWidth="1"/>
    <col min="1796" max="1796" width="5.5703125" style="50" customWidth="1"/>
    <col min="1797" max="1797" width="11.5703125" style="50" customWidth="1"/>
    <col min="1798" max="1798" width="50.85546875" style="50" customWidth="1"/>
    <col min="1799" max="2048" width="11.42578125" style="50"/>
    <col min="2049" max="2049" width="3.85546875" style="50" customWidth="1"/>
    <col min="2050" max="2050" width="11.5703125" style="50" customWidth="1"/>
    <col min="2051" max="2051" width="50.85546875" style="50" customWidth="1"/>
    <col min="2052" max="2052" width="5.5703125" style="50" customWidth="1"/>
    <col min="2053" max="2053" width="11.5703125" style="50" customWidth="1"/>
    <col min="2054" max="2054" width="50.85546875" style="50" customWidth="1"/>
    <col min="2055" max="2304" width="11.42578125" style="50"/>
    <col min="2305" max="2305" width="3.85546875" style="50" customWidth="1"/>
    <col min="2306" max="2306" width="11.5703125" style="50" customWidth="1"/>
    <col min="2307" max="2307" width="50.85546875" style="50" customWidth="1"/>
    <col min="2308" max="2308" width="5.5703125" style="50" customWidth="1"/>
    <col min="2309" max="2309" width="11.5703125" style="50" customWidth="1"/>
    <col min="2310" max="2310" width="50.85546875" style="50" customWidth="1"/>
    <col min="2311" max="2560" width="11.42578125" style="50"/>
    <col min="2561" max="2561" width="3.85546875" style="50" customWidth="1"/>
    <col min="2562" max="2562" width="11.5703125" style="50" customWidth="1"/>
    <col min="2563" max="2563" width="50.85546875" style="50" customWidth="1"/>
    <col min="2564" max="2564" width="5.5703125" style="50" customWidth="1"/>
    <col min="2565" max="2565" width="11.5703125" style="50" customWidth="1"/>
    <col min="2566" max="2566" width="50.85546875" style="50" customWidth="1"/>
    <col min="2567" max="2816" width="11.42578125" style="50"/>
    <col min="2817" max="2817" width="3.85546875" style="50" customWidth="1"/>
    <col min="2818" max="2818" width="11.5703125" style="50" customWidth="1"/>
    <col min="2819" max="2819" width="50.85546875" style="50" customWidth="1"/>
    <col min="2820" max="2820" width="5.5703125" style="50" customWidth="1"/>
    <col min="2821" max="2821" width="11.5703125" style="50" customWidth="1"/>
    <col min="2822" max="2822" width="50.85546875" style="50" customWidth="1"/>
    <col min="2823" max="3072" width="11.42578125" style="50"/>
    <col min="3073" max="3073" width="3.85546875" style="50" customWidth="1"/>
    <col min="3074" max="3074" width="11.5703125" style="50" customWidth="1"/>
    <col min="3075" max="3075" width="50.85546875" style="50" customWidth="1"/>
    <col min="3076" max="3076" width="5.5703125" style="50" customWidth="1"/>
    <col min="3077" max="3077" width="11.5703125" style="50" customWidth="1"/>
    <col min="3078" max="3078" width="50.85546875" style="50" customWidth="1"/>
    <col min="3079" max="3328" width="11.42578125" style="50"/>
    <col min="3329" max="3329" width="3.85546875" style="50" customWidth="1"/>
    <col min="3330" max="3330" width="11.5703125" style="50" customWidth="1"/>
    <col min="3331" max="3331" width="50.85546875" style="50" customWidth="1"/>
    <col min="3332" max="3332" width="5.5703125" style="50" customWidth="1"/>
    <col min="3333" max="3333" width="11.5703125" style="50" customWidth="1"/>
    <col min="3334" max="3334" width="50.85546875" style="50" customWidth="1"/>
    <col min="3335" max="3584" width="11.42578125" style="50"/>
    <col min="3585" max="3585" width="3.85546875" style="50" customWidth="1"/>
    <col min="3586" max="3586" width="11.5703125" style="50" customWidth="1"/>
    <col min="3587" max="3587" width="50.85546875" style="50" customWidth="1"/>
    <col min="3588" max="3588" width="5.5703125" style="50" customWidth="1"/>
    <col min="3589" max="3589" width="11.5703125" style="50" customWidth="1"/>
    <col min="3590" max="3590" width="50.85546875" style="50" customWidth="1"/>
    <col min="3591" max="3840" width="11.42578125" style="50"/>
    <col min="3841" max="3841" width="3.85546875" style="50" customWidth="1"/>
    <col min="3842" max="3842" width="11.5703125" style="50" customWidth="1"/>
    <col min="3843" max="3843" width="50.85546875" style="50" customWidth="1"/>
    <col min="3844" max="3844" width="5.5703125" style="50" customWidth="1"/>
    <col min="3845" max="3845" width="11.5703125" style="50" customWidth="1"/>
    <col min="3846" max="3846" width="50.85546875" style="50" customWidth="1"/>
    <col min="3847" max="4096" width="11.42578125" style="50"/>
    <col min="4097" max="4097" width="3.85546875" style="50" customWidth="1"/>
    <col min="4098" max="4098" width="11.5703125" style="50" customWidth="1"/>
    <col min="4099" max="4099" width="50.85546875" style="50" customWidth="1"/>
    <col min="4100" max="4100" width="5.5703125" style="50" customWidth="1"/>
    <col min="4101" max="4101" width="11.5703125" style="50" customWidth="1"/>
    <col min="4102" max="4102" width="50.85546875" style="50" customWidth="1"/>
    <col min="4103" max="4352" width="11.42578125" style="50"/>
    <col min="4353" max="4353" width="3.85546875" style="50" customWidth="1"/>
    <col min="4354" max="4354" width="11.5703125" style="50" customWidth="1"/>
    <col min="4355" max="4355" width="50.85546875" style="50" customWidth="1"/>
    <col min="4356" max="4356" width="5.5703125" style="50" customWidth="1"/>
    <col min="4357" max="4357" width="11.5703125" style="50" customWidth="1"/>
    <col min="4358" max="4358" width="50.85546875" style="50" customWidth="1"/>
    <col min="4359" max="4608" width="11.42578125" style="50"/>
    <col min="4609" max="4609" width="3.85546875" style="50" customWidth="1"/>
    <col min="4610" max="4610" width="11.5703125" style="50" customWidth="1"/>
    <col min="4611" max="4611" width="50.85546875" style="50" customWidth="1"/>
    <col min="4612" max="4612" width="5.5703125" style="50" customWidth="1"/>
    <col min="4613" max="4613" width="11.5703125" style="50" customWidth="1"/>
    <col min="4614" max="4614" width="50.85546875" style="50" customWidth="1"/>
    <col min="4615" max="4864" width="11.42578125" style="50"/>
    <col min="4865" max="4865" width="3.85546875" style="50" customWidth="1"/>
    <col min="4866" max="4866" width="11.5703125" style="50" customWidth="1"/>
    <col min="4867" max="4867" width="50.85546875" style="50" customWidth="1"/>
    <col min="4868" max="4868" width="5.5703125" style="50" customWidth="1"/>
    <col min="4869" max="4869" width="11.5703125" style="50" customWidth="1"/>
    <col min="4870" max="4870" width="50.85546875" style="50" customWidth="1"/>
    <col min="4871" max="5120" width="11.42578125" style="50"/>
    <col min="5121" max="5121" width="3.85546875" style="50" customWidth="1"/>
    <col min="5122" max="5122" width="11.5703125" style="50" customWidth="1"/>
    <col min="5123" max="5123" width="50.85546875" style="50" customWidth="1"/>
    <col min="5124" max="5124" width="5.5703125" style="50" customWidth="1"/>
    <col min="5125" max="5125" width="11.5703125" style="50" customWidth="1"/>
    <col min="5126" max="5126" width="50.85546875" style="50" customWidth="1"/>
    <col min="5127" max="5376" width="11.42578125" style="50"/>
    <col min="5377" max="5377" width="3.85546875" style="50" customWidth="1"/>
    <col min="5378" max="5378" width="11.5703125" style="50" customWidth="1"/>
    <col min="5379" max="5379" width="50.85546875" style="50" customWidth="1"/>
    <col min="5380" max="5380" width="5.5703125" style="50" customWidth="1"/>
    <col min="5381" max="5381" width="11.5703125" style="50" customWidth="1"/>
    <col min="5382" max="5382" width="50.85546875" style="50" customWidth="1"/>
    <col min="5383" max="5632" width="11.42578125" style="50"/>
    <col min="5633" max="5633" width="3.85546875" style="50" customWidth="1"/>
    <col min="5634" max="5634" width="11.5703125" style="50" customWidth="1"/>
    <col min="5635" max="5635" width="50.85546875" style="50" customWidth="1"/>
    <col min="5636" max="5636" width="5.5703125" style="50" customWidth="1"/>
    <col min="5637" max="5637" width="11.5703125" style="50" customWidth="1"/>
    <col min="5638" max="5638" width="50.85546875" style="50" customWidth="1"/>
    <col min="5639" max="5888" width="11.42578125" style="50"/>
    <col min="5889" max="5889" width="3.85546875" style="50" customWidth="1"/>
    <col min="5890" max="5890" width="11.5703125" style="50" customWidth="1"/>
    <col min="5891" max="5891" width="50.85546875" style="50" customWidth="1"/>
    <col min="5892" max="5892" width="5.5703125" style="50" customWidth="1"/>
    <col min="5893" max="5893" width="11.5703125" style="50" customWidth="1"/>
    <col min="5894" max="5894" width="50.85546875" style="50" customWidth="1"/>
    <col min="5895" max="6144" width="11.42578125" style="50"/>
    <col min="6145" max="6145" width="3.85546875" style="50" customWidth="1"/>
    <col min="6146" max="6146" width="11.5703125" style="50" customWidth="1"/>
    <col min="6147" max="6147" width="50.85546875" style="50" customWidth="1"/>
    <col min="6148" max="6148" width="5.5703125" style="50" customWidth="1"/>
    <col min="6149" max="6149" width="11.5703125" style="50" customWidth="1"/>
    <col min="6150" max="6150" width="50.85546875" style="50" customWidth="1"/>
    <col min="6151" max="6400" width="11.42578125" style="50"/>
    <col min="6401" max="6401" width="3.85546875" style="50" customWidth="1"/>
    <col min="6402" max="6402" width="11.5703125" style="50" customWidth="1"/>
    <col min="6403" max="6403" width="50.85546875" style="50" customWidth="1"/>
    <col min="6404" max="6404" width="5.5703125" style="50" customWidth="1"/>
    <col min="6405" max="6405" width="11.5703125" style="50" customWidth="1"/>
    <col min="6406" max="6406" width="50.85546875" style="50" customWidth="1"/>
    <col min="6407" max="6656" width="11.42578125" style="50"/>
    <col min="6657" max="6657" width="3.85546875" style="50" customWidth="1"/>
    <col min="6658" max="6658" width="11.5703125" style="50" customWidth="1"/>
    <col min="6659" max="6659" width="50.85546875" style="50" customWidth="1"/>
    <col min="6660" max="6660" width="5.5703125" style="50" customWidth="1"/>
    <col min="6661" max="6661" width="11.5703125" style="50" customWidth="1"/>
    <col min="6662" max="6662" width="50.85546875" style="50" customWidth="1"/>
    <col min="6663" max="6912" width="11.42578125" style="50"/>
    <col min="6913" max="6913" width="3.85546875" style="50" customWidth="1"/>
    <col min="6914" max="6914" width="11.5703125" style="50" customWidth="1"/>
    <col min="6915" max="6915" width="50.85546875" style="50" customWidth="1"/>
    <col min="6916" max="6916" width="5.5703125" style="50" customWidth="1"/>
    <col min="6917" max="6917" width="11.5703125" style="50" customWidth="1"/>
    <col min="6918" max="6918" width="50.85546875" style="50" customWidth="1"/>
    <col min="6919" max="7168" width="11.42578125" style="50"/>
    <col min="7169" max="7169" width="3.85546875" style="50" customWidth="1"/>
    <col min="7170" max="7170" width="11.5703125" style="50" customWidth="1"/>
    <col min="7171" max="7171" width="50.85546875" style="50" customWidth="1"/>
    <col min="7172" max="7172" width="5.5703125" style="50" customWidth="1"/>
    <col min="7173" max="7173" width="11.5703125" style="50" customWidth="1"/>
    <col min="7174" max="7174" width="50.85546875" style="50" customWidth="1"/>
    <col min="7175" max="7424" width="11.42578125" style="50"/>
    <col min="7425" max="7425" width="3.85546875" style="50" customWidth="1"/>
    <col min="7426" max="7426" width="11.5703125" style="50" customWidth="1"/>
    <col min="7427" max="7427" width="50.85546875" style="50" customWidth="1"/>
    <col min="7428" max="7428" width="5.5703125" style="50" customWidth="1"/>
    <col min="7429" max="7429" width="11.5703125" style="50" customWidth="1"/>
    <col min="7430" max="7430" width="50.85546875" style="50" customWidth="1"/>
    <col min="7431" max="7680" width="11.42578125" style="50"/>
    <col min="7681" max="7681" width="3.85546875" style="50" customWidth="1"/>
    <col min="7682" max="7682" width="11.5703125" style="50" customWidth="1"/>
    <col min="7683" max="7683" width="50.85546875" style="50" customWidth="1"/>
    <col min="7684" max="7684" width="5.5703125" style="50" customWidth="1"/>
    <col min="7685" max="7685" width="11.5703125" style="50" customWidth="1"/>
    <col min="7686" max="7686" width="50.85546875" style="50" customWidth="1"/>
    <col min="7687" max="7936" width="11.42578125" style="50"/>
    <col min="7937" max="7937" width="3.85546875" style="50" customWidth="1"/>
    <col min="7938" max="7938" width="11.5703125" style="50" customWidth="1"/>
    <col min="7939" max="7939" width="50.85546875" style="50" customWidth="1"/>
    <col min="7940" max="7940" width="5.5703125" style="50" customWidth="1"/>
    <col min="7941" max="7941" width="11.5703125" style="50" customWidth="1"/>
    <col min="7942" max="7942" width="50.85546875" style="50" customWidth="1"/>
    <col min="7943" max="8192" width="11.42578125" style="50"/>
    <col min="8193" max="8193" width="3.85546875" style="50" customWidth="1"/>
    <col min="8194" max="8194" width="11.5703125" style="50" customWidth="1"/>
    <col min="8195" max="8195" width="50.85546875" style="50" customWidth="1"/>
    <col min="8196" max="8196" width="5.5703125" style="50" customWidth="1"/>
    <col min="8197" max="8197" width="11.5703125" style="50" customWidth="1"/>
    <col min="8198" max="8198" width="50.85546875" style="50" customWidth="1"/>
    <col min="8199" max="8448" width="11.42578125" style="50"/>
    <col min="8449" max="8449" width="3.85546875" style="50" customWidth="1"/>
    <col min="8450" max="8450" width="11.5703125" style="50" customWidth="1"/>
    <col min="8451" max="8451" width="50.85546875" style="50" customWidth="1"/>
    <col min="8452" max="8452" width="5.5703125" style="50" customWidth="1"/>
    <col min="8453" max="8453" width="11.5703125" style="50" customWidth="1"/>
    <col min="8454" max="8454" width="50.85546875" style="50" customWidth="1"/>
    <col min="8455" max="8704" width="11.42578125" style="50"/>
    <col min="8705" max="8705" width="3.85546875" style="50" customWidth="1"/>
    <col min="8706" max="8706" width="11.5703125" style="50" customWidth="1"/>
    <col min="8707" max="8707" width="50.85546875" style="50" customWidth="1"/>
    <col min="8708" max="8708" width="5.5703125" style="50" customWidth="1"/>
    <col min="8709" max="8709" width="11.5703125" style="50" customWidth="1"/>
    <col min="8710" max="8710" width="50.85546875" style="50" customWidth="1"/>
    <col min="8711" max="8960" width="11.42578125" style="50"/>
    <col min="8961" max="8961" width="3.85546875" style="50" customWidth="1"/>
    <col min="8962" max="8962" width="11.5703125" style="50" customWidth="1"/>
    <col min="8963" max="8963" width="50.85546875" style="50" customWidth="1"/>
    <col min="8964" max="8964" width="5.5703125" style="50" customWidth="1"/>
    <col min="8965" max="8965" width="11.5703125" style="50" customWidth="1"/>
    <col min="8966" max="8966" width="50.85546875" style="50" customWidth="1"/>
    <col min="8967" max="9216" width="11.42578125" style="50"/>
    <col min="9217" max="9217" width="3.85546875" style="50" customWidth="1"/>
    <col min="9218" max="9218" width="11.5703125" style="50" customWidth="1"/>
    <col min="9219" max="9219" width="50.85546875" style="50" customWidth="1"/>
    <col min="9220" max="9220" width="5.5703125" style="50" customWidth="1"/>
    <col min="9221" max="9221" width="11.5703125" style="50" customWidth="1"/>
    <col min="9222" max="9222" width="50.85546875" style="50" customWidth="1"/>
    <col min="9223" max="9472" width="11.42578125" style="50"/>
    <col min="9473" max="9473" width="3.85546875" style="50" customWidth="1"/>
    <col min="9474" max="9474" width="11.5703125" style="50" customWidth="1"/>
    <col min="9475" max="9475" width="50.85546875" style="50" customWidth="1"/>
    <col min="9476" max="9476" width="5.5703125" style="50" customWidth="1"/>
    <col min="9477" max="9477" width="11.5703125" style="50" customWidth="1"/>
    <col min="9478" max="9478" width="50.85546875" style="50" customWidth="1"/>
    <col min="9479" max="9728" width="11.42578125" style="50"/>
    <col min="9729" max="9729" width="3.85546875" style="50" customWidth="1"/>
    <col min="9730" max="9730" width="11.5703125" style="50" customWidth="1"/>
    <col min="9731" max="9731" width="50.85546875" style="50" customWidth="1"/>
    <col min="9732" max="9732" width="5.5703125" style="50" customWidth="1"/>
    <col min="9733" max="9733" width="11.5703125" style="50" customWidth="1"/>
    <col min="9734" max="9734" width="50.85546875" style="50" customWidth="1"/>
    <col min="9735" max="9984" width="11.42578125" style="50"/>
    <col min="9985" max="9985" width="3.85546875" style="50" customWidth="1"/>
    <col min="9986" max="9986" width="11.5703125" style="50" customWidth="1"/>
    <col min="9987" max="9987" width="50.85546875" style="50" customWidth="1"/>
    <col min="9988" max="9988" width="5.5703125" style="50" customWidth="1"/>
    <col min="9989" max="9989" width="11.5703125" style="50" customWidth="1"/>
    <col min="9990" max="9990" width="50.85546875" style="50" customWidth="1"/>
    <col min="9991" max="10240" width="11.42578125" style="50"/>
    <col min="10241" max="10241" width="3.85546875" style="50" customWidth="1"/>
    <col min="10242" max="10242" width="11.5703125" style="50" customWidth="1"/>
    <col min="10243" max="10243" width="50.85546875" style="50" customWidth="1"/>
    <col min="10244" max="10244" width="5.5703125" style="50" customWidth="1"/>
    <col min="10245" max="10245" width="11.5703125" style="50" customWidth="1"/>
    <col min="10246" max="10246" width="50.85546875" style="50" customWidth="1"/>
    <col min="10247" max="10496" width="11.42578125" style="50"/>
    <col min="10497" max="10497" width="3.85546875" style="50" customWidth="1"/>
    <col min="10498" max="10498" width="11.5703125" style="50" customWidth="1"/>
    <col min="10499" max="10499" width="50.85546875" style="50" customWidth="1"/>
    <col min="10500" max="10500" width="5.5703125" style="50" customWidth="1"/>
    <col min="10501" max="10501" width="11.5703125" style="50" customWidth="1"/>
    <col min="10502" max="10502" width="50.85546875" style="50" customWidth="1"/>
    <col min="10503" max="10752" width="11.42578125" style="50"/>
    <col min="10753" max="10753" width="3.85546875" style="50" customWidth="1"/>
    <col min="10754" max="10754" width="11.5703125" style="50" customWidth="1"/>
    <col min="10755" max="10755" width="50.85546875" style="50" customWidth="1"/>
    <col min="10756" max="10756" width="5.5703125" style="50" customWidth="1"/>
    <col min="10757" max="10757" width="11.5703125" style="50" customWidth="1"/>
    <col min="10758" max="10758" width="50.85546875" style="50" customWidth="1"/>
    <col min="10759" max="11008" width="11.42578125" style="50"/>
    <col min="11009" max="11009" width="3.85546875" style="50" customWidth="1"/>
    <col min="11010" max="11010" width="11.5703125" style="50" customWidth="1"/>
    <col min="11011" max="11011" width="50.85546875" style="50" customWidth="1"/>
    <col min="11012" max="11012" width="5.5703125" style="50" customWidth="1"/>
    <col min="11013" max="11013" width="11.5703125" style="50" customWidth="1"/>
    <col min="11014" max="11014" width="50.85546875" style="50" customWidth="1"/>
    <col min="11015" max="11264" width="11.42578125" style="50"/>
    <col min="11265" max="11265" width="3.85546875" style="50" customWidth="1"/>
    <col min="11266" max="11266" width="11.5703125" style="50" customWidth="1"/>
    <col min="11267" max="11267" width="50.85546875" style="50" customWidth="1"/>
    <col min="11268" max="11268" width="5.5703125" style="50" customWidth="1"/>
    <col min="11269" max="11269" width="11.5703125" style="50" customWidth="1"/>
    <col min="11270" max="11270" width="50.85546875" style="50" customWidth="1"/>
    <col min="11271" max="11520" width="11.42578125" style="50"/>
    <col min="11521" max="11521" width="3.85546875" style="50" customWidth="1"/>
    <col min="11522" max="11522" width="11.5703125" style="50" customWidth="1"/>
    <col min="11523" max="11523" width="50.85546875" style="50" customWidth="1"/>
    <col min="11524" max="11524" width="5.5703125" style="50" customWidth="1"/>
    <col min="11525" max="11525" width="11.5703125" style="50" customWidth="1"/>
    <col min="11526" max="11526" width="50.85546875" style="50" customWidth="1"/>
    <col min="11527" max="11776" width="11.42578125" style="50"/>
    <col min="11777" max="11777" width="3.85546875" style="50" customWidth="1"/>
    <col min="11778" max="11778" width="11.5703125" style="50" customWidth="1"/>
    <col min="11779" max="11779" width="50.85546875" style="50" customWidth="1"/>
    <col min="11780" max="11780" width="5.5703125" style="50" customWidth="1"/>
    <col min="11781" max="11781" width="11.5703125" style="50" customWidth="1"/>
    <col min="11782" max="11782" width="50.85546875" style="50" customWidth="1"/>
    <col min="11783" max="12032" width="11.42578125" style="50"/>
    <col min="12033" max="12033" width="3.85546875" style="50" customWidth="1"/>
    <col min="12034" max="12034" width="11.5703125" style="50" customWidth="1"/>
    <col min="12035" max="12035" width="50.85546875" style="50" customWidth="1"/>
    <col min="12036" max="12036" width="5.5703125" style="50" customWidth="1"/>
    <col min="12037" max="12037" width="11.5703125" style="50" customWidth="1"/>
    <col min="12038" max="12038" width="50.85546875" style="50" customWidth="1"/>
    <col min="12039" max="12288" width="11.42578125" style="50"/>
    <col min="12289" max="12289" width="3.85546875" style="50" customWidth="1"/>
    <col min="12290" max="12290" width="11.5703125" style="50" customWidth="1"/>
    <col min="12291" max="12291" width="50.85546875" style="50" customWidth="1"/>
    <col min="12292" max="12292" width="5.5703125" style="50" customWidth="1"/>
    <col min="12293" max="12293" width="11.5703125" style="50" customWidth="1"/>
    <col min="12294" max="12294" width="50.85546875" style="50" customWidth="1"/>
    <col min="12295" max="12544" width="11.42578125" style="50"/>
    <col min="12545" max="12545" width="3.85546875" style="50" customWidth="1"/>
    <col min="12546" max="12546" width="11.5703125" style="50" customWidth="1"/>
    <col min="12547" max="12547" width="50.85546875" style="50" customWidth="1"/>
    <col min="12548" max="12548" width="5.5703125" style="50" customWidth="1"/>
    <col min="12549" max="12549" width="11.5703125" style="50" customWidth="1"/>
    <col min="12550" max="12550" width="50.85546875" style="50" customWidth="1"/>
    <col min="12551" max="12800" width="11.42578125" style="50"/>
    <col min="12801" max="12801" width="3.85546875" style="50" customWidth="1"/>
    <col min="12802" max="12802" width="11.5703125" style="50" customWidth="1"/>
    <col min="12803" max="12803" width="50.85546875" style="50" customWidth="1"/>
    <col min="12804" max="12804" width="5.5703125" style="50" customWidth="1"/>
    <col min="12805" max="12805" width="11.5703125" style="50" customWidth="1"/>
    <col min="12806" max="12806" width="50.85546875" style="50" customWidth="1"/>
    <col min="12807" max="13056" width="11.42578125" style="50"/>
    <col min="13057" max="13057" width="3.85546875" style="50" customWidth="1"/>
    <col min="13058" max="13058" width="11.5703125" style="50" customWidth="1"/>
    <col min="13059" max="13059" width="50.85546875" style="50" customWidth="1"/>
    <col min="13060" max="13060" width="5.5703125" style="50" customWidth="1"/>
    <col min="13061" max="13061" width="11.5703125" style="50" customWidth="1"/>
    <col min="13062" max="13062" width="50.85546875" style="50" customWidth="1"/>
    <col min="13063" max="13312" width="11.42578125" style="50"/>
    <col min="13313" max="13313" width="3.85546875" style="50" customWidth="1"/>
    <col min="13314" max="13314" width="11.5703125" style="50" customWidth="1"/>
    <col min="13315" max="13315" width="50.85546875" style="50" customWidth="1"/>
    <col min="13316" max="13316" width="5.5703125" style="50" customWidth="1"/>
    <col min="13317" max="13317" width="11.5703125" style="50" customWidth="1"/>
    <col min="13318" max="13318" width="50.85546875" style="50" customWidth="1"/>
    <col min="13319" max="13568" width="11.42578125" style="50"/>
    <col min="13569" max="13569" width="3.85546875" style="50" customWidth="1"/>
    <col min="13570" max="13570" width="11.5703125" style="50" customWidth="1"/>
    <col min="13571" max="13571" width="50.85546875" style="50" customWidth="1"/>
    <col min="13572" max="13572" width="5.5703125" style="50" customWidth="1"/>
    <col min="13573" max="13573" width="11.5703125" style="50" customWidth="1"/>
    <col min="13574" max="13574" width="50.85546875" style="50" customWidth="1"/>
    <col min="13575" max="13824" width="11.42578125" style="50"/>
    <col min="13825" max="13825" width="3.85546875" style="50" customWidth="1"/>
    <col min="13826" max="13826" width="11.5703125" style="50" customWidth="1"/>
    <col min="13827" max="13827" width="50.85546875" style="50" customWidth="1"/>
    <col min="13828" max="13828" width="5.5703125" style="50" customWidth="1"/>
    <col min="13829" max="13829" width="11.5703125" style="50" customWidth="1"/>
    <col min="13830" max="13830" width="50.85546875" style="50" customWidth="1"/>
    <col min="13831" max="14080" width="11.42578125" style="50"/>
    <col min="14081" max="14081" width="3.85546875" style="50" customWidth="1"/>
    <col min="14082" max="14082" width="11.5703125" style="50" customWidth="1"/>
    <col min="14083" max="14083" width="50.85546875" style="50" customWidth="1"/>
    <col min="14084" max="14084" width="5.5703125" style="50" customWidth="1"/>
    <col min="14085" max="14085" width="11.5703125" style="50" customWidth="1"/>
    <col min="14086" max="14086" width="50.85546875" style="50" customWidth="1"/>
    <col min="14087" max="14336" width="11.42578125" style="50"/>
    <col min="14337" max="14337" width="3.85546875" style="50" customWidth="1"/>
    <col min="14338" max="14338" width="11.5703125" style="50" customWidth="1"/>
    <col min="14339" max="14339" width="50.85546875" style="50" customWidth="1"/>
    <col min="14340" max="14340" width="5.5703125" style="50" customWidth="1"/>
    <col min="14341" max="14341" width="11.5703125" style="50" customWidth="1"/>
    <col min="14342" max="14342" width="50.85546875" style="50" customWidth="1"/>
    <col min="14343" max="14592" width="11.42578125" style="50"/>
    <col min="14593" max="14593" width="3.85546875" style="50" customWidth="1"/>
    <col min="14594" max="14594" width="11.5703125" style="50" customWidth="1"/>
    <col min="14595" max="14595" width="50.85546875" style="50" customWidth="1"/>
    <col min="14596" max="14596" width="5.5703125" style="50" customWidth="1"/>
    <col min="14597" max="14597" width="11.5703125" style="50" customWidth="1"/>
    <col min="14598" max="14598" width="50.85546875" style="50" customWidth="1"/>
    <col min="14599" max="14848" width="11.42578125" style="50"/>
    <col min="14849" max="14849" width="3.85546875" style="50" customWidth="1"/>
    <col min="14850" max="14850" width="11.5703125" style="50" customWidth="1"/>
    <col min="14851" max="14851" width="50.85546875" style="50" customWidth="1"/>
    <col min="14852" max="14852" width="5.5703125" style="50" customWidth="1"/>
    <col min="14853" max="14853" width="11.5703125" style="50" customWidth="1"/>
    <col min="14854" max="14854" width="50.85546875" style="50" customWidth="1"/>
    <col min="14855" max="15104" width="11.42578125" style="50"/>
    <col min="15105" max="15105" width="3.85546875" style="50" customWidth="1"/>
    <col min="15106" max="15106" width="11.5703125" style="50" customWidth="1"/>
    <col min="15107" max="15107" width="50.85546875" style="50" customWidth="1"/>
    <col min="15108" max="15108" width="5.5703125" style="50" customWidth="1"/>
    <col min="15109" max="15109" width="11.5703125" style="50" customWidth="1"/>
    <col min="15110" max="15110" width="50.85546875" style="50" customWidth="1"/>
    <col min="15111" max="15360" width="11.42578125" style="50"/>
    <col min="15361" max="15361" width="3.85546875" style="50" customWidth="1"/>
    <col min="15362" max="15362" width="11.5703125" style="50" customWidth="1"/>
    <col min="15363" max="15363" width="50.85546875" style="50" customWidth="1"/>
    <col min="15364" max="15364" width="5.5703125" style="50" customWidth="1"/>
    <col min="15365" max="15365" width="11.5703125" style="50" customWidth="1"/>
    <col min="15366" max="15366" width="50.85546875" style="50" customWidth="1"/>
    <col min="15367" max="15616" width="11.42578125" style="50"/>
    <col min="15617" max="15617" width="3.85546875" style="50" customWidth="1"/>
    <col min="15618" max="15618" width="11.5703125" style="50" customWidth="1"/>
    <col min="15619" max="15619" width="50.85546875" style="50" customWidth="1"/>
    <col min="15620" max="15620" width="5.5703125" style="50" customWidth="1"/>
    <col min="15621" max="15621" width="11.5703125" style="50" customWidth="1"/>
    <col min="15622" max="15622" width="50.85546875" style="50" customWidth="1"/>
    <col min="15623" max="15872" width="11.42578125" style="50"/>
    <col min="15873" max="15873" width="3.85546875" style="50" customWidth="1"/>
    <col min="15874" max="15874" width="11.5703125" style="50" customWidth="1"/>
    <col min="15875" max="15875" width="50.85546875" style="50" customWidth="1"/>
    <col min="15876" max="15876" width="5.5703125" style="50" customWidth="1"/>
    <col min="15877" max="15877" width="11.5703125" style="50" customWidth="1"/>
    <col min="15878" max="15878" width="50.85546875" style="50" customWidth="1"/>
    <col min="15879" max="16128" width="11.42578125" style="50"/>
    <col min="16129" max="16129" width="3.85546875" style="50" customWidth="1"/>
    <col min="16130" max="16130" width="11.5703125" style="50" customWidth="1"/>
    <col min="16131" max="16131" width="50.85546875" style="50" customWidth="1"/>
    <col min="16132" max="16132" width="5.5703125" style="50" customWidth="1"/>
    <col min="16133" max="16133" width="11.5703125" style="50" customWidth="1"/>
    <col min="16134" max="16134" width="50.85546875" style="50" customWidth="1"/>
    <col min="16135" max="16384" width="11.42578125" style="50"/>
  </cols>
  <sheetData>
    <row r="3" spans="2:6" ht="33" x14ac:dyDescent="0.4">
      <c r="B3" s="47" t="s">
        <v>69</v>
      </c>
      <c r="C3" s="48"/>
      <c r="D3" s="49"/>
      <c r="F3" s="51"/>
    </row>
    <row r="4" spans="2:6" ht="33" x14ac:dyDescent="0.2">
      <c r="B4" s="52" t="s">
        <v>70</v>
      </c>
      <c r="C4" s="52" t="str">
        <f>[1]INFOBOX!B7</f>
        <v>v 1.0</v>
      </c>
      <c r="D4" s="49"/>
      <c r="F4" s="51"/>
    </row>
    <row r="5" spans="2:6" ht="33" x14ac:dyDescent="0.2">
      <c r="D5" s="51"/>
      <c r="E5" s="51"/>
      <c r="F5" s="51"/>
    </row>
    <row r="6" spans="2:6" ht="23.25" customHeight="1" x14ac:dyDescent="0.2">
      <c r="B6" s="53"/>
      <c r="C6" s="53"/>
      <c r="D6" s="54" t="s">
        <v>71</v>
      </c>
      <c r="E6" s="53"/>
      <c r="F6" s="53"/>
    </row>
    <row r="7" spans="2:6" ht="4.5" customHeight="1" x14ac:dyDescent="0.2"/>
    <row r="8" spans="2:6" ht="20.25" customHeight="1" x14ac:dyDescent="0.3">
      <c r="B8" s="170" t="s">
        <v>72</v>
      </c>
      <c r="C8" s="171"/>
      <c r="D8" s="55"/>
      <c r="E8" s="170" t="s">
        <v>73</v>
      </c>
      <c r="F8" s="172"/>
    </row>
    <row r="9" spans="2:6" ht="20.25" customHeight="1" x14ac:dyDescent="0.3">
      <c r="B9" s="160"/>
      <c r="C9" s="160"/>
      <c r="D9" s="55"/>
      <c r="E9" s="160"/>
      <c r="F9" s="161"/>
    </row>
    <row r="10" spans="2:6" ht="20.25" customHeight="1" x14ac:dyDescent="0.3">
      <c r="B10" s="160"/>
      <c r="C10" s="162" t="s">
        <v>74</v>
      </c>
      <c r="D10" s="55"/>
      <c r="E10" s="160"/>
      <c r="F10" s="162" t="s">
        <v>75</v>
      </c>
    </row>
    <row r="11" spans="2:6" ht="20.25" customHeight="1" x14ac:dyDescent="0.3">
      <c r="B11" s="160"/>
      <c r="C11" s="162"/>
      <c r="D11" s="55"/>
      <c r="E11" s="160"/>
      <c r="F11" s="162"/>
    </row>
    <row r="12" spans="2:6" ht="20.25" customHeight="1" x14ac:dyDescent="0.3">
      <c r="B12" s="160"/>
      <c r="C12" s="162"/>
      <c r="D12" s="55"/>
      <c r="E12" s="160"/>
      <c r="F12" s="160"/>
    </row>
    <row r="13" spans="2:6" ht="20.25" customHeight="1" x14ac:dyDescent="0.3">
      <c r="B13" s="160"/>
      <c r="C13" s="162" t="s">
        <v>76</v>
      </c>
      <c r="D13" s="55"/>
      <c r="E13" s="160"/>
      <c r="F13" s="162" t="s">
        <v>77</v>
      </c>
    </row>
    <row r="14" spans="2:6" ht="20.25" customHeight="1" x14ac:dyDescent="0.3">
      <c r="B14" s="160"/>
      <c r="C14" s="162"/>
      <c r="D14" s="55"/>
      <c r="E14" s="160"/>
      <c r="F14" s="162"/>
    </row>
    <row r="15" spans="2:6" ht="20.25" customHeight="1" x14ac:dyDescent="0.3">
      <c r="B15" s="56"/>
      <c r="C15" s="57"/>
      <c r="D15" s="55"/>
      <c r="E15" s="160"/>
      <c r="F15" s="162"/>
    </row>
    <row r="16" spans="2:6" ht="20.25" customHeight="1" x14ac:dyDescent="0.3">
      <c r="B16" s="56"/>
      <c r="C16" s="57" t="s">
        <v>78</v>
      </c>
      <c r="D16" s="55"/>
      <c r="E16" s="160"/>
      <c r="F16" s="162" t="s">
        <v>79</v>
      </c>
    </row>
    <row r="17" spans="2:6" ht="20.25" customHeight="1" x14ac:dyDescent="0.3">
      <c r="B17" s="56"/>
      <c r="C17" s="57"/>
      <c r="D17" s="55"/>
      <c r="E17" s="160"/>
      <c r="F17" s="162"/>
    </row>
    <row r="18" spans="2:6" ht="20.25" customHeight="1" x14ac:dyDescent="0.3">
      <c r="B18" s="160"/>
      <c r="C18" s="162"/>
      <c r="D18" s="55"/>
      <c r="E18" s="160"/>
      <c r="F18" s="162"/>
    </row>
    <row r="19" spans="2:6" ht="20.25" customHeight="1" x14ac:dyDescent="0.3">
      <c r="B19" s="160"/>
      <c r="C19" s="162" t="s">
        <v>80</v>
      </c>
      <c r="D19" s="55"/>
      <c r="E19" s="160"/>
      <c r="F19" s="162" t="s">
        <v>81</v>
      </c>
    </row>
    <row r="20" spans="2:6" ht="20.25" customHeight="1" x14ac:dyDescent="0.3">
      <c r="B20" s="160"/>
      <c r="C20" s="160"/>
      <c r="D20" s="55"/>
      <c r="E20" s="160"/>
      <c r="F20" s="161"/>
    </row>
    <row r="21" spans="2:6" ht="20.25" customHeight="1" x14ac:dyDescent="0.3">
      <c r="B21" s="160"/>
      <c r="C21" s="162"/>
      <c r="D21" s="55"/>
      <c r="E21" s="160"/>
      <c r="F21" s="160"/>
    </row>
    <row r="22" spans="2:6" ht="20.25" customHeight="1" x14ac:dyDescent="0.3">
      <c r="B22" s="160"/>
      <c r="C22" s="162" t="s">
        <v>82</v>
      </c>
      <c r="D22" s="55"/>
      <c r="E22" s="160"/>
      <c r="F22" s="162" t="s">
        <v>83</v>
      </c>
    </row>
    <row r="23" spans="2:6" ht="20.25" customHeight="1" x14ac:dyDescent="0.3">
      <c r="B23" s="160"/>
      <c r="C23" s="160"/>
      <c r="D23" s="55"/>
      <c r="E23" s="160"/>
      <c r="F23" s="162"/>
    </row>
    <row r="24" spans="2:6" ht="20.25" customHeight="1" x14ac:dyDescent="0.3">
      <c r="B24" s="160"/>
      <c r="C24" s="160"/>
      <c r="D24" s="55"/>
      <c r="E24" s="160"/>
      <c r="F24" s="162"/>
    </row>
    <row r="25" spans="2:6" ht="20.25" customHeight="1" x14ac:dyDescent="0.3">
      <c r="B25" s="160"/>
      <c r="C25" s="162" t="s">
        <v>84</v>
      </c>
      <c r="D25" s="55"/>
      <c r="E25" s="160"/>
      <c r="F25" s="162" t="s">
        <v>85</v>
      </c>
    </row>
    <row r="26" spans="2:6" ht="20.25" customHeight="1" x14ac:dyDescent="0.3">
      <c r="B26" s="160"/>
      <c r="C26" s="160"/>
      <c r="D26" s="55"/>
      <c r="E26" s="160"/>
      <c r="F26" s="162"/>
    </row>
    <row r="27" spans="2:6" ht="20.25" customHeight="1" x14ac:dyDescent="0.3">
      <c r="B27" s="160"/>
      <c r="C27" s="160"/>
      <c r="D27" s="55"/>
      <c r="E27" s="160"/>
      <c r="F27" s="162"/>
    </row>
    <row r="28" spans="2:6" ht="20.25" customHeight="1" x14ac:dyDescent="0.3">
      <c r="B28" s="160"/>
      <c r="C28" s="162" t="s">
        <v>86</v>
      </c>
      <c r="D28" s="55"/>
      <c r="E28" s="160"/>
      <c r="F28" s="162" t="s">
        <v>87</v>
      </c>
    </row>
    <row r="29" spans="2:6" ht="20.25" customHeight="1" x14ac:dyDescent="0.3">
      <c r="B29" s="160"/>
      <c r="C29" s="160"/>
      <c r="D29" s="55"/>
      <c r="E29" s="160"/>
      <c r="F29" s="162"/>
    </row>
    <row r="30" spans="2:6" ht="20.25" customHeight="1" x14ac:dyDescent="0.3">
      <c r="B30" s="56"/>
      <c r="C30" s="56"/>
      <c r="D30" s="55"/>
      <c r="E30" s="160"/>
      <c r="F30" s="160"/>
    </row>
    <row r="31" spans="2:6" ht="20.25" customHeight="1" x14ac:dyDescent="0.3">
      <c r="B31" s="56"/>
      <c r="C31" s="57" t="s">
        <v>88</v>
      </c>
      <c r="D31" s="55"/>
      <c r="E31" s="160"/>
      <c r="F31" s="162" t="s">
        <v>89</v>
      </c>
    </row>
    <row r="32" spans="2:6" ht="20.25" customHeight="1" x14ac:dyDescent="0.3">
      <c r="B32" s="56"/>
      <c r="C32" s="56"/>
      <c r="D32" s="55"/>
      <c r="E32" s="160"/>
      <c r="F32" s="162"/>
    </row>
    <row r="33" spans="2:6" ht="20.25" customHeight="1" x14ac:dyDescent="0.3">
      <c r="B33" s="56"/>
      <c r="C33" s="56"/>
      <c r="D33" s="55"/>
      <c r="E33" s="160"/>
      <c r="F33" s="162"/>
    </row>
    <row r="34" spans="2:6" ht="20.25" customHeight="1" x14ac:dyDescent="0.3">
      <c r="B34" s="56"/>
      <c r="C34" s="57" t="s">
        <v>90</v>
      </c>
      <c r="D34" s="55"/>
      <c r="E34" s="160"/>
      <c r="F34" s="162" t="s">
        <v>91</v>
      </c>
    </row>
    <row r="35" spans="2:6" ht="20.25" customHeight="1" x14ac:dyDescent="0.3">
      <c r="B35" s="56"/>
      <c r="C35" s="56"/>
      <c r="D35" s="55"/>
      <c r="E35" s="160"/>
      <c r="F35" s="162"/>
    </row>
    <row r="36" spans="2:6" ht="20.25" customHeight="1" x14ac:dyDescent="0.3">
      <c r="B36" s="58"/>
      <c r="C36" s="58"/>
      <c r="D36" s="55"/>
      <c r="E36" s="56"/>
      <c r="F36" s="57"/>
    </row>
    <row r="37" spans="2:6" ht="20.25" customHeight="1" x14ac:dyDescent="0.3">
      <c r="B37" s="58" t="s">
        <v>213</v>
      </c>
      <c r="C37" s="58"/>
      <c r="D37" s="55"/>
      <c r="E37" s="56"/>
      <c r="F37" s="57" t="s">
        <v>211</v>
      </c>
    </row>
    <row r="38" spans="2:6" ht="20.25" customHeight="1" x14ac:dyDescent="0.3">
      <c r="C38" s="157" t="str">
        <f>INFOBOX!B2</f>
        <v>D E M O V E R S I O N</v>
      </c>
      <c r="D38" s="55"/>
      <c r="E38" s="56"/>
      <c r="F38" s="57"/>
    </row>
    <row r="39" spans="2:6" ht="20.25" customHeight="1" x14ac:dyDescent="0.3">
      <c r="C39" s="157" t="str">
        <f>INFOBOX!B3</f>
        <v>eingeschränkte Funktionalität</v>
      </c>
      <c r="D39" s="55"/>
      <c r="E39" s="160"/>
      <c r="F39" s="162"/>
    </row>
    <row r="40" spans="2:6" ht="20.25" customHeight="1" x14ac:dyDescent="0.3">
      <c r="C40" s="157" t="str">
        <f>INFOBOX!B4</f>
        <v>office@statikklasse.at</v>
      </c>
      <c r="D40" s="55"/>
      <c r="E40" s="160"/>
      <c r="F40" s="162" t="s">
        <v>212</v>
      </c>
    </row>
    <row r="41" spans="2:6" ht="20.25" customHeight="1" x14ac:dyDescent="0.3">
      <c r="B41" s="173"/>
      <c r="C41" s="174"/>
      <c r="D41" s="55"/>
      <c r="E41" s="160"/>
      <c r="F41" s="162"/>
    </row>
    <row r="42" spans="2:6" ht="20.25" customHeight="1" x14ac:dyDescent="0.3">
      <c r="B42" s="60"/>
      <c r="C42" s="61"/>
      <c r="D42" s="55"/>
      <c r="E42" s="155"/>
      <c r="F42" s="156"/>
    </row>
    <row r="43" spans="2:6" ht="30" customHeight="1" x14ac:dyDescent="0.4">
      <c r="B43" s="58"/>
      <c r="D43" s="62" t="s">
        <v>92</v>
      </c>
      <c r="E43" s="58"/>
      <c r="F43" s="58"/>
    </row>
    <row r="44" spans="2:6" ht="20.25" customHeight="1" x14ac:dyDescent="0.3">
      <c r="B44" s="58"/>
      <c r="C44" s="59"/>
      <c r="D44" s="55"/>
    </row>
    <row r="45" spans="2:6" ht="20.25" customHeight="1" x14ac:dyDescent="0.3">
      <c r="B45" s="58"/>
      <c r="C45" s="58"/>
      <c r="D45" s="55"/>
    </row>
    <row r="46" spans="2:6" ht="20.25" customHeight="1" x14ac:dyDescent="0.3">
      <c r="B46" s="58"/>
      <c r="C46" s="58"/>
      <c r="D46" s="55"/>
    </row>
    <row r="47" spans="2:6" ht="20.25" customHeight="1" x14ac:dyDescent="0.3">
      <c r="B47" s="58"/>
      <c r="C47" s="58"/>
      <c r="D47" s="55"/>
    </row>
  </sheetData>
  <sheetProtection algorithmName="SHA-512" hashValue="ZqSmBQzoLmsHy7U77oqsZqYHJuh76Q42Z63BQKvdOPZZqEjMqcpKYvvFHqlKQeuv9ACHnmfenyKA3Bs5GvK40w==" saltValue="GS3d5sIZWE5JIjbxhQcMIw==" spinCount="100000" sheet="1" objects="1" scenarios="1" selectLockedCells="1"/>
  <mergeCells count="3">
    <mergeCell ref="B8:C8"/>
    <mergeCell ref="E8:F8"/>
    <mergeCell ref="B41:C41"/>
  </mergeCells>
  <hyperlinks>
    <hyperlink ref="D43" r:id="rId1" xr:uid="{029545BD-AD1A-472F-95F7-3FAB26C318E7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3A6B1-1A27-4E55-91B2-E43345682317}">
  <dimension ref="A1:AN146"/>
  <sheetViews>
    <sheetView showGridLines="0" view="pageBreakPreview" zoomScaleNormal="100" zoomScaleSheetLayoutView="160" workbookViewId="0">
      <selection activeCell="G13" sqref="G13"/>
    </sheetView>
  </sheetViews>
  <sheetFormatPr baseColWidth="10" defaultRowHeight="12.75" x14ac:dyDescent="0.2"/>
  <cols>
    <col min="1" max="22" width="3.7109375" style="64" customWidth="1"/>
    <col min="23" max="26" width="3.7109375" style="93" customWidth="1"/>
    <col min="27" max="36" width="11.42578125" style="93"/>
    <col min="37" max="39" width="11.42578125" style="111"/>
    <col min="40" max="40" width="11.42578125" style="112"/>
    <col min="41" max="256" width="11.42578125" style="64"/>
    <col min="257" max="282" width="3.7109375" style="64" customWidth="1"/>
    <col min="283" max="512" width="11.42578125" style="64"/>
    <col min="513" max="538" width="3.7109375" style="64" customWidth="1"/>
    <col min="539" max="768" width="11.42578125" style="64"/>
    <col min="769" max="794" width="3.7109375" style="64" customWidth="1"/>
    <col min="795" max="1024" width="11.42578125" style="64"/>
    <col min="1025" max="1050" width="3.7109375" style="64" customWidth="1"/>
    <col min="1051" max="1280" width="11.42578125" style="64"/>
    <col min="1281" max="1306" width="3.7109375" style="64" customWidth="1"/>
    <col min="1307" max="1536" width="11.42578125" style="64"/>
    <col min="1537" max="1562" width="3.7109375" style="64" customWidth="1"/>
    <col min="1563" max="1792" width="11.42578125" style="64"/>
    <col min="1793" max="1818" width="3.7109375" style="64" customWidth="1"/>
    <col min="1819" max="2048" width="11.42578125" style="64"/>
    <col min="2049" max="2074" width="3.7109375" style="64" customWidth="1"/>
    <col min="2075" max="2304" width="11.42578125" style="64"/>
    <col min="2305" max="2330" width="3.7109375" style="64" customWidth="1"/>
    <col min="2331" max="2560" width="11.42578125" style="64"/>
    <col min="2561" max="2586" width="3.7109375" style="64" customWidth="1"/>
    <col min="2587" max="2816" width="11.42578125" style="64"/>
    <col min="2817" max="2842" width="3.7109375" style="64" customWidth="1"/>
    <col min="2843" max="3072" width="11.42578125" style="64"/>
    <col min="3073" max="3098" width="3.7109375" style="64" customWidth="1"/>
    <col min="3099" max="3328" width="11.42578125" style="64"/>
    <col min="3329" max="3354" width="3.7109375" style="64" customWidth="1"/>
    <col min="3355" max="3584" width="11.42578125" style="64"/>
    <col min="3585" max="3610" width="3.7109375" style="64" customWidth="1"/>
    <col min="3611" max="3840" width="11.42578125" style="64"/>
    <col min="3841" max="3866" width="3.7109375" style="64" customWidth="1"/>
    <col min="3867" max="4096" width="11.42578125" style="64"/>
    <col min="4097" max="4122" width="3.7109375" style="64" customWidth="1"/>
    <col min="4123" max="4352" width="11.42578125" style="64"/>
    <col min="4353" max="4378" width="3.7109375" style="64" customWidth="1"/>
    <col min="4379" max="4608" width="11.42578125" style="64"/>
    <col min="4609" max="4634" width="3.7109375" style="64" customWidth="1"/>
    <col min="4635" max="4864" width="11.42578125" style="64"/>
    <col min="4865" max="4890" width="3.7109375" style="64" customWidth="1"/>
    <col min="4891" max="5120" width="11.42578125" style="64"/>
    <col min="5121" max="5146" width="3.7109375" style="64" customWidth="1"/>
    <col min="5147" max="5376" width="11.42578125" style="64"/>
    <col min="5377" max="5402" width="3.7109375" style="64" customWidth="1"/>
    <col min="5403" max="5632" width="11.42578125" style="64"/>
    <col min="5633" max="5658" width="3.7109375" style="64" customWidth="1"/>
    <col min="5659" max="5888" width="11.42578125" style="64"/>
    <col min="5889" max="5914" width="3.7109375" style="64" customWidth="1"/>
    <col min="5915" max="6144" width="11.42578125" style="64"/>
    <col min="6145" max="6170" width="3.7109375" style="64" customWidth="1"/>
    <col min="6171" max="6400" width="11.42578125" style="64"/>
    <col min="6401" max="6426" width="3.7109375" style="64" customWidth="1"/>
    <col min="6427" max="6656" width="11.42578125" style="64"/>
    <col min="6657" max="6682" width="3.7109375" style="64" customWidth="1"/>
    <col min="6683" max="6912" width="11.42578125" style="64"/>
    <col min="6913" max="6938" width="3.7109375" style="64" customWidth="1"/>
    <col min="6939" max="7168" width="11.42578125" style="64"/>
    <col min="7169" max="7194" width="3.7109375" style="64" customWidth="1"/>
    <col min="7195" max="7424" width="11.42578125" style="64"/>
    <col min="7425" max="7450" width="3.7109375" style="64" customWidth="1"/>
    <col min="7451" max="7680" width="11.42578125" style="64"/>
    <col min="7681" max="7706" width="3.7109375" style="64" customWidth="1"/>
    <col min="7707" max="7936" width="11.42578125" style="64"/>
    <col min="7937" max="7962" width="3.7109375" style="64" customWidth="1"/>
    <col min="7963" max="8192" width="11.42578125" style="64"/>
    <col min="8193" max="8218" width="3.7109375" style="64" customWidth="1"/>
    <col min="8219" max="8448" width="11.42578125" style="64"/>
    <col min="8449" max="8474" width="3.7109375" style="64" customWidth="1"/>
    <col min="8475" max="8704" width="11.42578125" style="64"/>
    <col min="8705" max="8730" width="3.7109375" style="64" customWidth="1"/>
    <col min="8731" max="8960" width="11.42578125" style="64"/>
    <col min="8961" max="8986" width="3.7109375" style="64" customWidth="1"/>
    <col min="8987" max="9216" width="11.42578125" style="64"/>
    <col min="9217" max="9242" width="3.7109375" style="64" customWidth="1"/>
    <col min="9243" max="9472" width="11.42578125" style="64"/>
    <col min="9473" max="9498" width="3.7109375" style="64" customWidth="1"/>
    <col min="9499" max="9728" width="11.42578125" style="64"/>
    <col min="9729" max="9754" width="3.7109375" style="64" customWidth="1"/>
    <col min="9755" max="9984" width="11.42578125" style="64"/>
    <col min="9985" max="10010" width="3.7109375" style="64" customWidth="1"/>
    <col min="10011" max="10240" width="11.42578125" style="64"/>
    <col min="10241" max="10266" width="3.7109375" style="64" customWidth="1"/>
    <col min="10267" max="10496" width="11.42578125" style="64"/>
    <col min="10497" max="10522" width="3.7109375" style="64" customWidth="1"/>
    <col min="10523" max="10752" width="11.42578125" style="64"/>
    <col min="10753" max="10778" width="3.7109375" style="64" customWidth="1"/>
    <col min="10779" max="11008" width="11.42578125" style="64"/>
    <col min="11009" max="11034" width="3.7109375" style="64" customWidth="1"/>
    <col min="11035" max="11264" width="11.42578125" style="64"/>
    <col min="11265" max="11290" width="3.7109375" style="64" customWidth="1"/>
    <col min="11291" max="11520" width="11.42578125" style="64"/>
    <col min="11521" max="11546" width="3.7109375" style="64" customWidth="1"/>
    <col min="11547" max="11776" width="11.42578125" style="64"/>
    <col min="11777" max="11802" width="3.7109375" style="64" customWidth="1"/>
    <col min="11803" max="12032" width="11.42578125" style="64"/>
    <col min="12033" max="12058" width="3.7109375" style="64" customWidth="1"/>
    <col min="12059" max="12288" width="11.42578125" style="64"/>
    <col min="12289" max="12314" width="3.7109375" style="64" customWidth="1"/>
    <col min="12315" max="12544" width="11.42578125" style="64"/>
    <col min="12545" max="12570" width="3.7109375" style="64" customWidth="1"/>
    <col min="12571" max="12800" width="11.42578125" style="64"/>
    <col min="12801" max="12826" width="3.7109375" style="64" customWidth="1"/>
    <col min="12827" max="13056" width="11.42578125" style="64"/>
    <col min="13057" max="13082" width="3.7109375" style="64" customWidth="1"/>
    <col min="13083" max="13312" width="11.42578125" style="64"/>
    <col min="13313" max="13338" width="3.7109375" style="64" customWidth="1"/>
    <col min="13339" max="13568" width="11.42578125" style="64"/>
    <col min="13569" max="13594" width="3.7109375" style="64" customWidth="1"/>
    <col min="13595" max="13824" width="11.42578125" style="64"/>
    <col min="13825" max="13850" width="3.7109375" style="64" customWidth="1"/>
    <col min="13851" max="14080" width="11.42578125" style="64"/>
    <col min="14081" max="14106" width="3.7109375" style="64" customWidth="1"/>
    <col min="14107" max="14336" width="11.42578125" style="64"/>
    <col min="14337" max="14362" width="3.7109375" style="64" customWidth="1"/>
    <col min="14363" max="14592" width="11.42578125" style="64"/>
    <col min="14593" max="14618" width="3.7109375" style="64" customWidth="1"/>
    <col min="14619" max="14848" width="11.42578125" style="64"/>
    <col min="14849" max="14874" width="3.7109375" style="64" customWidth="1"/>
    <col min="14875" max="15104" width="11.42578125" style="64"/>
    <col min="15105" max="15130" width="3.7109375" style="64" customWidth="1"/>
    <col min="15131" max="15360" width="11.42578125" style="64"/>
    <col min="15361" max="15386" width="3.7109375" style="64" customWidth="1"/>
    <col min="15387" max="15616" width="11.42578125" style="64"/>
    <col min="15617" max="15642" width="3.7109375" style="64" customWidth="1"/>
    <col min="15643" max="15872" width="11.42578125" style="64"/>
    <col min="15873" max="15898" width="3.7109375" style="64" customWidth="1"/>
    <col min="15899" max="16128" width="11.42578125" style="64"/>
    <col min="16129" max="16154" width="3.7109375" style="64" customWidth="1"/>
    <col min="16155" max="16384" width="11.42578125" style="64"/>
  </cols>
  <sheetData>
    <row r="1" spans="1:24" x14ac:dyDescent="0.2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24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P2" s="65" t="s">
        <v>93</v>
      </c>
      <c r="Q2" s="66" t="str">
        <f>INFOBOX!B2</f>
        <v>D E M O V E R S I O N</v>
      </c>
    </row>
    <row r="3" spans="1:24" x14ac:dyDescent="0.2">
      <c r="A3" s="63"/>
      <c r="B3" s="63"/>
      <c r="D3" s="64" t="s">
        <v>94</v>
      </c>
      <c r="E3" s="63"/>
      <c r="F3" s="63"/>
      <c r="G3" s="63"/>
      <c r="H3" s="63"/>
      <c r="I3" s="63"/>
      <c r="J3" s="63"/>
      <c r="P3" s="67"/>
      <c r="Q3" s="66" t="str">
        <f>INFOBOX!B3</f>
        <v>eingeschränkte Funktionalität</v>
      </c>
      <c r="R3" s="66"/>
      <c r="S3" s="66"/>
      <c r="T3" s="66"/>
      <c r="U3" s="66"/>
      <c r="V3" s="66"/>
    </row>
    <row r="4" spans="1:24" ht="12.75" customHeight="1" x14ac:dyDescent="0.2">
      <c r="A4" s="68"/>
      <c r="D4" s="64" t="s">
        <v>95</v>
      </c>
      <c r="K4" s="69"/>
      <c r="L4" s="69"/>
      <c r="M4" s="69"/>
      <c r="N4" s="69"/>
      <c r="O4" s="69"/>
      <c r="P4" s="70"/>
      <c r="Q4" s="66" t="str">
        <f>INFOBOX!B4</f>
        <v>office@statikklasse.at</v>
      </c>
      <c r="R4" s="71"/>
      <c r="S4" s="66"/>
      <c r="T4" s="66"/>
      <c r="U4" s="66"/>
      <c r="V4" s="66"/>
    </row>
    <row r="5" spans="1:24" ht="13.5" customHeight="1" x14ac:dyDescent="0.2">
      <c r="K5" s="69"/>
      <c r="L5" s="69"/>
      <c r="M5" s="69"/>
      <c r="N5" s="69"/>
      <c r="O5" s="69"/>
      <c r="P5" s="69"/>
      <c r="Q5" s="71"/>
      <c r="R5" s="71"/>
      <c r="S5" s="66"/>
      <c r="T5" s="66"/>
      <c r="U5" s="66"/>
      <c r="V5" s="66"/>
    </row>
    <row r="6" spans="1:24" x14ac:dyDescent="0.2">
      <c r="A6" s="72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</row>
    <row r="7" spans="1:24" x14ac:dyDescent="0.2">
      <c r="A7" s="72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</row>
    <row r="9" spans="1:24" x14ac:dyDescent="0.2">
      <c r="A9" s="184" t="s">
        <v>96</v>
      </c>
      <c r="B9" s="185"/>
      <c r="C9" s="64" t="s">
        <v>106</v>
      </c>
    </row>
    <row r="10" spans="1:24" x14ac:dyDescent="0.2">
      <c r="A10" s="186"/>
      <c r="B10" s="187"/>
    </row>
    <row r="11" spans="1:24" x14ac:dyDescent="0.2">
      <c r="A11" s="104"/>
    </row>
    <row r="13" spans="1:24" ht="15.75" x14ac:dyDescent="0.3">
      <c r="F13" s="100" t="s">
        <v>107</v>
      </c>
      <c r="G13" s="105">
        <v>25</v>
      </c>
      <c r="H13" s="64" t="s">
        <v>44</v>
      </c>
      <c r="Q13" s="100" t="s">
        <v>108</v>
      </c>
      <c r="R13" s="105">
        <v>60</v>
      </c>
      <c r="S13" s="64" t="s">
        <v>44</v>
      </c>
    </row>
    <row r="14" spans="1:24" x14ac:dyDescent="0.2">
      <c r="K14" s="105">
        <v>15</v>
      </c>
      <c r="L14" s="64" t="s">
        <v>23</v>
      </c>
    </row>
    <row r="15" spans="1:24" x14ac:dyDescent="0.2">
      <c r="E15" s="105">
        <v>15</v>
      </c>
      <c r="F15" s="64" t="s">
        <v>23</v>
      </c>
      <c r="H15" s="188">
        <v>90</v>
      </c>
    </row>
    <row r="16" spans="1:24" x14ac:dyDescent="0.2">
      <c r="H16" s="188"/>
      <c r="Q16" s="105">
        <v>0</v>
      </c>
      <c r="R16" s="64" t="s">
        <v>100</v>
      </c>
      <c r="X16" s="93" t="s">
        <v>109</v>
      </c>
    </row>
    <row r="17" spans="1:40" s="66" customFormat="1" ht="13.5" x14ac:dyDescent="0.25">
      <c r="E17" s="66" t="s">
        <v>10</v>
      </c>
      <c r="G17" s="95" t="s">
        <v>11</v>
      </c>
      <c r="I17" s="66" t="s">
        <v>12</v>
      </c>
      <c r="M17" s="106" t="s">
        <v>110</v>
      </c>
      <c r="N17" s="95" t="s">
        <v>104</v>
      </c>
      <c r="Q17" s="66" t="s">
        <v>111</v>
      </c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8"/>
      <c r="AL17" s="108"/>
      <c r="AM17" s="108"/>
      <c r="AN17" s="109"/>
    </row>
    <row r="18" spans="1:40" s="66" customFormat="1" ht="13.5" x14ac:dyDescent="0.25">
      <c r="G18" s="110" t="s">
        <v>112</v>
      </c>
      <c r="N18" s="110" t="s">
        <v>113</v>
      </c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8"/>
      <c r="AL18" s="108"/>
      <c r="AM18" s="108"/>
      <c r="AN18" s="109"/>
    </row>
    <row r="19" spans="1:40" x14ac:dyDescent="0.2">
      <c r="E19" s="182">
        <v>1</v>
      </c>
      <c r="F19" s="182"/>
      <c r="G19" s="182">
        <v>5</v>
      </c>
      <c r="H19" s="182"/>
      <c r="I19" s="182"/>
      <c r="J19" s="182"/>
      <c r="K19" s="182"/>
      <c r="L19" s="182"/>
      <c r="M19" s="182"/>
      <c r="N19" s="182">
        <v>1</v>
      </c>
      <c r="O19" s="182"/>
      <c r="P19" s="182"/>
    </row>
    <row r="21" spans="1:40" x14ac:dyDescent="0.2">
      <c r="G21" s="182">
        <v>2.5</v>
      </c>
      <c r="H21" s="182"/>
    </row>
    <row r="22" spans="1:40" x14ac:dyDescent="0.2">
      <c r="G22" s="113"/>
      <c r="H22" s="113"/>
    </row>
    <row r="23" spans="1:40" x14ac:dyDescent="0.2">
      <c r="G23" s="113"/>
      <c r="H23" s="113"/>
      <c r="U23" s="97" t="s">
        <v>105</v>
      </c>
    </row>
    <row r="24" spans="1:40" x14ac:dyDescent="0.2">
      <c r="G24" s="113"/>
      <c r="H24" s="113"/>
    </row>
    <row r="25" spans="1:40" x14ac:dyDescent="0.2">
      <c r="A25" s="186" t="s">
        <v>98</v>
      </c>
      <c r="B25" s="187"/>
      <c r="C25" s="80" t="s">
        <v>114</v>
      </c>
      <c r="G25" s="113"/>
      <c r="H25" s="113"/>
    </row>
    <row r="26" spans="1:40" x14ac:dyDescent="0.2">
      <c r="G26" s="113"/>
      <c r="H26" s="113"/>
    </row>
    <row r="27" spans="1:40" s="85" customFormat="1" ht="15" x14ac:dyDescent="0.25">
      <c r="A27" s="98" t="s">
        <v>115</v>
      </c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5"/>
      <c r="AL27" s="115"/>
      <c r="AM27" s="115"/>
      <c r="AN27" s="116"/>
    </row>
    <row r="28" spans="1:40" s="85" customFormat="1" ht="14.25" x14ac:dyDescent="0.2"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5"/>
      <c r="AL28" s="115"/>
      <c r="AM28" s="115"/>
      <c r="AN28" s="116"/>
    </row>
    <row r="29" spans="1:40" s="85" customFormat="1" ht="18.75" x14ac:dyDescent="0.35">
      <c r="B29" s="85" t="s">
        <v>116</v>
      </c>
      <c r="G29" s="85" t="str">
        <f>G13&amp;" * cos ("&amp;H15&amp;") ="</f>
        <v>25 * cos (90) =</v>
      </c>
      <c r="K29" s="183">
        <f>G13*COS(H15*PI()/180)</f>
        <v>1.531435568635775E-15</v>
      </c>
      <c r="L29" s="183"/>
      <c r="M29" s="85" t="s">
        <v>44</v>
      </c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5"/>
      <c r="AL29" s="115"/>
      <c r="AM29" s="115"/>
      <c r="AN29" s="116"/>
    </row>
    <row r="30" spans="1:40" s="85" customFormat="1" ht="18.75" x14ac:dyDescent="0.35">
      <c r="B30" s="117" t="s">
        <v>117</v>
      </c>
      <c r="C30" s="117"/>
      <c r="D30" s="117"/>
      <c r="E30" s="117"/>
      <c r="F30" s="117"/>
      <c r="G30" s="117" t="str">
        <f>G13&amp;" * sin ("&amp;H15&amp;") ="</f>
        <v>25 * sin (90) =</v>
      </c>
      <c r="H30" s="117"/>
      <c r="I30" s="117"/>
      <c r="J30" s="117"/>
      <c r="K30" s="189">
        <f>G13*SIN(H15*PI()/180)</f>
        <v>25</v>
      </c>
      <c r="L30" s="189"/>
      <c r="M30" s="117" t="s">
        <v>44</v>
      </c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5"/>
      <c r="AL30" s="115"/>
      <c r="AM30" s="115"/>
      <c r="AN30" s="116"/>
    </row>
    <row r="31" spans="1:40" s="85" customFormat="1" ht="18.75" x14ac:dyDescent="0.35">
      <c r="B31" s="85" t="s">
        <v>118</v>
      </c>
      <c r="G31" s="85" t="str">
        <f>R13&amp;" * cos ("&amp;Q16&amp;") ="</f>
        <v>60 * cos (0) =</v>
      </c>
      <c r="K31" s="183">
        <f>R13*COS(Q16*PI()/180)</f>
        <v>60</v>
      </c>
      <c r="L31" s="183"/>
      <c r="M31" s="85" t="s">
        <v>44</v>
      </c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5"/>
      <c r="AL31" s="115"/>
      <c r="AM31" s="115"/>
      <c r="AN31" s="116"/>
    </row>
    <row r="32" spans="1:40" s="85" customFormat="1" ht="18.75" x14ac:dyDescent="0.35">
      <c r="B32" s="85" t="s">
        <v>119</v>
      </c>
      <c r="G32" s="85" t="str">
        <f>R13&amp;" * sin ("&amp;Q16&amp;") ="</f>
        <v>60 * sin (0) =</v>
      </c>
      <c r="K32" s="183">
        <f>R13*SIN(Q16*PI()/180)</f>
        <v>0</v>
      </c>
      <c r="L32" s="183"/>
      <c r="M32" s="85" t="s">
        <v>44</v>
      </c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  <c r="AL32" s="115"/>
      <c r="AM32" s="115"/>
      <c r="AN32" s="116"/>
    </row>
    <row r="33" spans="1:40" s="85" customFormat="1" ht="14.25" x14ac:dyDescent="0.2">
      <c r="K33" s="88"/>
      <c r="L33" s="88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5"/>
      <c r="AL33" s="115"/>
      <c r="AM33" s="115"/>
      <c r="AN33" s="116"/>
    </row>
    <row r="34" spans="1:40" s="85" customFormat="1" ht="15" x14ac:dyDescent="0.25">
      <c r="A34" s="98" t="s">
        <v>120</v>
      </c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5"/>
      <c r="AL34" s="115"/>
      <c r="AM34" s="115"/>
      <c r="AN34" s="116"/>
    </row>
    <row r="35" spans="1:40" s="85" customFormat="1" ht="15" x14ac:dyDescent="0.25">
      <c r="B35" s="99" t="s">
        <v>121</v>
      </c>
      <c r="E35" s="85" t="s">
        <v>122</v>
      </c>
      <c r="J35" s="87"/>
      <c r="K35" s="88"/>
      <c r="M35" s="91"/>
      <c r="Q35" s="88"/>
      <c r="R35" s="88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5"/>
      <c r="AL35" s="115"/>
      <c r="AM35" s="115"/>
      <c r="AN35" s="116"/>
    </row>
    <row r="36" spans="1:40" s="85" customFormat="1" ht="15" thickBot="1" x14ac:dyDescent="0.25">
      <c r="E36" s="91" t="s">
        <v>123</v>
      </c>
      <c r="F36" s="85" t="s">
        <v>38</v>
      </c>
      <c r="G36" s="180">
        <f>-K29+K31</f>
        <v>60</v>
      </c>
      <c r="H36" s="181"/>
      <c r="I36" s="85" t="s">
        <v>44</v>
      </c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5"/>
      <c r="AL36" s="115"/>
      <c r="AM36" s="115"/>
      <c r="AN36" s="116"/>
    </row>
    <row r="37" spans="1:40" s="85" customFormat="1" ht="15" thickTop="1" x14ac:dyDescent="0.2"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5"/>
      <c r="AL37" s="115"/>
      <c r="AM37" s="115"/>
      <c r="AN37" s="116"/>
    </row>
    <row r="38" spans="1:40" s="85" customFormat="1" ht="18.75" x14ac:dyDescent="0.35">
      <c r="B38" s="99" t="s">
        <v>124</v>
      </c>
      <c r="E38" s="85" t="str">
        <f>"D_v * "&amp;G19&amp;" - F2_v * "&amp;G19+N19&amp;" - "&amp;K14&amp;" * "&amp;G19+N19&amp;"^2/2 - F1_v * "&amp;G21&amp;" + "&amp;E15&amp;" * "&amp;E19&amp;"^2/2 = 0"</f>
        <v>D_v * 5 - F2_v * 6 - 15 * 6^2/2 - F1_v * 2,5 + 15 * 1^2/2 = 0</v>
      </c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5"/>
      <c r="AL38" s="115"/>
      <c r="AM38" s="115"/>
      <c r="AN38" s="116"/>
    </row>
    <row r="39" spans="1:40" s="85" customFormat="1" ht="19.5" thickBot="1" x14ac:dyDescent="0.25">
      <c r="E39" s="118" t="s">
        <v>125</v>
      </c>
      <c r="F39" s="83" t="s">
        <v>38</v>
      </c>
      <c r="G39" s="180">
        <f>(K32*(G19+N19)+K14*(G19+N19)^2/2+K30*G21-E15*E19^2/2)/G19</f>
        <v>65</v>
      </c>
      <c r="H39" s="180"/>
      <c r="I39" s="85" t="s">
        <v>44</v>
      </c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5"/>
      <c r="AL39" s="115"/>
      <c r="AM39" s="115"/>
      <c r="AN39" s="116"/>
    </row>
    <row r="40" spans="1:40" s="85" customFormat="1" ht="15" thickTop="1" x14ac:dyDescent="0.2"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5"/>
      <c r="AL40" s="115"/>
      <c r="AM40" s="115"/>
      <c r="AN40" s="116"/>
    </row>
    <row r="41" spans="1:40" s="85" customFormat="1" ht="18.75" x14ac:dyDescent="0.35">
      <c r="B41" s="99" t="s">
        <v>126</v>
      </c>
      <c r="E41" s="85" t="str">
        <f>"B_v * "&amp;G19&amp;" - "&amp;E15&amp;" * "&amp;E19&amp;" * "&amp;E19/2+G19&amp;" - F1_v * "&amp;G19-G21&amp;" - "&amp;K14&amp;" * "&amp;G19&amp;"^2/2 + "&amp;K14&amp;" * "&amp;N19&amp;"^2/2 + F2_v * "&amp;N19&amp;" = 0"</f>
        <v>B_v * 5 - 15 * 1 * 5,5 - F1_v * 2,5 - 15 * 5^2/2 + 15 * 1^2/2 + F2_v * 1 = 0</v>
      </c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5"/>
      <c r="AL41" s="115"/>
      <c r="AM41" s="115"/>
      <c r="AN41" s="116"/>
    </row>
    <row r="42" spans="1:40" s="85" customFormat="1" ht="15" thickBot="1" x14ac:dyDescent="0.25">
      <c r="E42" s="91" t="s">
        <v>127</v>
      </c>
      <c r="F42" s="85" t="s">
        <v>38</v>
      </c>
      <c r="G42" s="180">
        <f>(E15*E19*(E19/2+G19)+K30*(G19-G21)+K14*G19^2/2-K14*N19^2/2-K32*N19)/G19</f>
        <v>65</v>
      </c>
      <c r="H42" s="180"/>
      <c r="I42" s="85" t="s">
        <v>44</v>
      </c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5"/>
      <c r="AL42" s="115"/>
      <c r="AM42" s="115"/>
      <c r="AN42" s="116"/>
    </row>
    <row r="43" spans="1:40" s="85" customFormat="1" ht="15" thickTop="1" x14ac:dyDescent="0.2"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5"/>
      <c r="AL43" s="115"/>
      <c r="AM43" s="115"/>
      <c r="AN43" s="116"/>
    </row>
    <row r="44" spans="1:40" s="85" customFormat="1" ht="15" x14ac:dyDescent="0.25">
      <c r="B44" s="99" t="s">
        <v>128</v>
      </c>
      <c r="E44" s="85" t="str">
        <f>"B_v + D_v - F1_v - F2_v - "&amp;K14&amp;" * "&amp;G19+N19&amp;" - "&amp;E15&amp;" * "&amp;E19</f>
        <v>B_v + D_v - F1_v - F2_v - 15 * 6 - 15 * 1</v>
      </c>
      <c r="R44" s="85" t="s">
        <v>129</v>
      </c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5"/>
      <c r="AL44" s="115"/>
      <c r="AM44" s="115"/>
      <c r="AN44" s="116"/>
    </row>
    <row r="45" spans="1:40" s="85" customFormat="1" ht="15" x14ac:dyDescent="0.25">
      <c r="B45" s="99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5"/>
      <c r="AL45" s="115"/>
      <c r="AM45" s="115"/>
      <c r="AN45" s="116"/>
    </row>
    <row r="46" spans="1:40" s="85" customFormat="1" ht="15" x14ac:dyDescent="0.25">
      <c r="B46" s="99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5"/>
      <c r="AL46" s="115"/>
      <c r="AM46" s="115"/>
      <c r="AN46" s="116"/>
    </row>
    <row r="47" spans="1:40" s="85" customFormat="1" ht="15" x14ac:dyDescent="0.25">
      <c r="B47" s="99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5"/>
      <c r="AL47" s="115"/>
      <c r="AM47" s="115"/>
      <c r="AN47" s="116"/>
    </row>
    <row r="48" spans="1:40" s="85" customFormat="1" ht="15" x14ac:dyDescent="0.25">
      <c r="B48" s="99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5"/>
      <c r="AL48" s="115"/>
      <c r="AM48" s="115"/>
      <c r="AN48" s="116"/>
    </row>
    <row r="49" spans="1:40" s="85" customFormat="1" ht="15" x14ac:dyDescent="0.25">
      <c r="B49" s="99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5"/>
      <c r="AL49" s="115"/>
      <c r="AM49" s="115"/>
      <c r="AN49" s="116"/>
    </row>
    <row r="50" spans="1:40" s="85" customFormat="1" ht="15" x14ac:dyDescent="0.25">
      <c r="B50" s="99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5"/>
      <c r="AL50" s="115"/>
      <c r="AM50" s="115"/>
      <c r="AN50" s="116"/>
    </row>
    <row r="51" spans="1:40" s="85" customFormat="1" ht="15" x14ac:dyDescent="0.25">
      <c r="B51" s="99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5"/>
      <c r="AL51" s="115"/>
      <c r="AM51" s="115"/>
      <c r="AN51" s="116"/>
    </row>
    <row r="52" spans="1:40" s="85" customFormat="1" ht="15" x14ac:dyDescent="0.25">
      <c r="B52" s="99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5"/>
      <c r="AL52" s="115"/>
      <c r="AM52" s="115"/>
      <c r="AN52" s="116"/>
    </row>
    <row r="53" spans="1:40" s="85" customFormat="1" ht="14.25" x14ac:dyDescent="0.2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5"/>
      <c r="AL53" s="115"/>
      <c r="AM53" s="115"/>
      <c r="AN53" s="116"/>
    </row>
    <row r="54" spans="1:40" s="85" customFormat="1" ht="14.25" x14ac:dyDescent="0.2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5"/>
      <c r="AL54" s="115"/>
      <c r="AM54" s="115"/>
      <c r="AN54" s="116"/>
    </row>
    <row r="55" spans="1:40" s="85" customFormat="1" ht="14.25" x14ac:dyDescent="0.2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5"/>
      <c r="AL55" s="115"/>
      <c r="AM55" s="115"/>
      <c r="AN55" s="116"/>
    </row>
    <row r="56" spans="1:40" s="85" customFormat="1" ht="14.25" x14ac:dyDescent="0.2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5"/>
      <c r="AL56" s="115"/>
      <c r="AM56" s="115"/>
      <c r="AN56" s="116"/>
    </row>
    <row r="57" spans="1:40" s="85" customFormat="1" ht="15" x14ac:dyDescent="0.25">
      <c r="A57" s="98" t="s">
        <v>130</v>
      </c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5"/>
      <c r="AL57" s="115"/>
      <c r="AM57" s="115"/>
      <c r="AN57" s="116"/>
    </row>
    <row r="58" spans="1:40" s="85" customFormat="1" ht="14.25" x14ac:dyDescent="0.2">
      <c r="B58" s="85" t="s">
        <v>131</v>
      </c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5"/>
      <c r="AL58" s="115"/>
      <c r="AM58" s="115"/>
      <c r="AN58" s="116"/>
    </row>
    <row r="59" spans="1:40" s="85" customFormat="1" ht="15.75" thickBot="1" x14ac:dyDescent="0.3">
      <c r="B59" s="99" t="s">
        <v>121</v>
      </c>
      <c r="E59" s="85" t="s">
        <v>132</v>
      </c>
      <c r="G59" s="180">
        <v>0</v>
      </c>
      <c r="H59" s="180"/>
      <c r="I59" s="85" t="s">
        <v>44</v>
      </c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5"/>
      <c r="AL59" s="115"/>
      <c r="AM59" s="115"/>
      <c r="AN59" s="116"/>
    </row>
    <row r="60" spans="1:40" s="85" customFormat="1" ht="15" thickTop="1" x14ac:dyDescent="0.2">
      <c r="G60" s="88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5"/>
      <c r="AL60" s="115"/>
      <c r="AM60" s="115"/>
      <c r="AN60" s="116"/>
    </row>
    <row r="61" spans="1:40" s="85" customFormat="1" ht="18.75" x14ac:dyDescent="0.35">
      <c r="B61" s="99" t="s">
        <v>133</v>
      </c>
      <c r="E61" s="85" t="str">
        <f>"V_li + "&amp;E15&amp;" * "&amp;E19&amp;" = 0"</f>
        <v>V_li + 15 * 1 = 0</v>
      </c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5"/>
      <c r="AL61" s="115"/>
      <c r="AM61" s="115"/>
      <c r="AN61" s="116"/>
    </row>
    <row r="62" spans="1:40" s="85" customFormat="1" ht="19.5" thickBot="1" x14ac:dyDescent="0.4">
      <c r="E62" s="85" t="s">
        <v>134</v>
      </c>
      <c r="G62" s="180">
        <f>-E15*E19</f>
        <v>-15</v>
      </c>
      <c r="H62" s="180"/>
      <c r="I62" s="85" t="s">
        <v>44</v>
      </c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5"/>
      <c r="AL62" s="115"/>
      <c r="AM62" s="115"/>
      <c r="AN62" s="116"/>
    </row>
    <row r="63" spans="1:40" s="85" customFormat="1" ht="19.5" thickTop="1" x14ac:dyDescent="0.35">
      <c r="B63" s="99" t="s">
        <v>135</v>
      </c>
      <c r="E63" s="85" t="str">
        <f>"V_re + "&amp;E15&amp;" * "&amp;E19&amp;" - B_v = 0"</f>
        <v>V_re + 15 * 1 - B_v = 0</v>
      </c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5"/>
      <c r="AL63" s="115"/>
      <c r="AM63" s="115"/>
      <c r="AN63" s="116"/>
    </row>
    <row r="64" spans="1:40" s="85" customFormat="1" ht="19.5" thickBot="1" x14ac:dyDescent="0.4">
      <c r="E64" s="85" t="s">
        <v>136</v>
      </c>
      <c r="G64" s="180">
        <f>G42-E15*E19</f>
        <v>50</v>
      </c>
      <c r="H64" s="180"/>
      <c r="I64" s="85" t="s">
        <v>44</v>
      </c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5"/>
      <c r="AL64" s="115"/>
      <c r="AM64" s="115"/>
      <c r="AN64" s="116"/>
    </row>
    <row r="65" spans="2:40" s="85" customFormat="1" ht="15" thickTop="1" x14ac:dyDescent="0.2"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5"/>
      <c r="AL65" s="115"/>
      <c r="AM65" s="115"/>
      <c r="AN65" s="116"/>
    </row>
    <row r="66" spans="2:40" s="85" customFormat="1" ht="18.75" x14ac:dyDescent="0.35">
      <c r="B66" s="99" t="s">
        <v>124</v>
      </c>
      <c r="E66" s="85" t="s">
        <v>137</v>
      </c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5"/>
      <c r="AL66" s="115"/>
      <c r="AM66" s="115"/>
      <c r="AN66" s="116"/>
    </row>
    <row r="67" spans="2:40" s="85" customFormat="1" ht="19.5" thickBot="1" x14ac:dyDescent="0.4">
      <c r="E67" s="85" t="s">
        <v>138</v>
      </c>
      <c r="G67" s="180">
        <f>-E15*E19^2/2</f>
        <v>-7.5</v>
      </c>
      <c r="H67" s="180"/>
      <c r="I67" s="85" t="s">
        <v>33</v>
      </c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5"/>
      <c r="AL67" s="115"/>
      <c r="AM67" s="115"/>
      <c r="AN67" s="116"/>
    </row>
    <row r="68" spans="2:40" s="85" customFormat="1" ht="15" thickTop="1" x14ac:dyDescent="0.2"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5"/>
      <c r="AL68" s="115"/>
      <c r="AM68" s="115"/>
      <c r="AN68" s="116"/>
    </row>
    <row r="69" spans="2:40" s="85" customFormat="1" ht="14.25" x14ac:dyDescent="0.2"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5"/>
      <c r="AL69" s="115"/>
      <c r="AM69" s="115"/>
      <c r="AN69" s="116"/>
    </row>
    <row r="70" spans="2:40" s="85" customFormat="1" ht="14.25" x14ac:dyDescent="0.2">
      <c r="B70" s="85" t="s">
        <v>139</v>
      </c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5"/>
      <c r="AL70" s="115"/>
      <c r="AM70" s="115"/>
      <c r="AN70" s="116"/>
    </row>
    <row r="71" spans="2:40" s="85" customFormat="1" ht="19.5" thickBot="1" x14ac:dyDescent="0.4">
      <c r="B71" s="99" t="s">
        <v>140</v>
      </c>
      <c r="E71" s="85" t="s">
        <v>141</v>
      </c>
      <c r="G71" s="180">
        <v>0</v>
      </c>
      <c r="H71" s="180"/>
      <c r="I71" s="85" t="s">
        <v>44</v>
      </c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5"/>
      <c r="AL71" s="115"/>
      <c r="AM71" s="115"/>
      <c r="AN71" s="116"/>
    </row>
    <row r="72" spans="2:40" s="85" customFormat="1" ht="19.5" thickTop="1" x14ac:dyDescent="0.35">
      <c r="B72" s="99" t="s">
        <v>142</v>
      </c>
      <c r="E72" s="85" t="s">
        <v>143</v>
      </c>
      <c r="G72" s="88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5"/>
      <c r="AL72" s="115"/>
      <c r="AM72" s="115"/>
      <c r="AN72" s="116"/>
    </row>
    <row r="73" spans="2:40" s="85" customFormat="1" ht="15.75" thickBot="1" x14ac:dyDescent="0.3">
      <c r="B73" s="99"/>
      <c r="E73" s="85" t="s">
        <v>144</v>
      </c>
      <c r="G73" s="180">
        <f>-K29</f>
        <v>-1.531435568635775E-15</v>
      </c>
      <c r="H73" s="181"/>
      <c r="I73" s="85" t="s">
        <v>44</v>
      </c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5"/>
      <c r="AL73" s="115"/>
      <c r="AM73" s="115"/>
      <c r="AN73" s="116"/>
    </row>
    <row r="74" spans="2:40" s="85" customFormat="1" ht="15.75" thickTop="1" x14ac:dyDescent="0.25">
      <c r="B74" s="99"/>
      <c r="G74" s="88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5"/>
      <c r="AL74" s="115"/>
      <c r="AM74" s="115"/>
      <c r="AN74" s="116"/>
    </row>
    <row r="75" spans="2:40" s="85" customFormat="1" ht="18.75" x14ac:dyDescent="0.35">
      <c r="B75" s="99" t="s">
        <v>133</v>
      </c>
      <c r="E75" s="85" t="str">
        <f>"V_li + "&amp;E15&amp;" * "&amp;E19&amp;" - B_v + "&amp;K14&amp;" * "&amp;G21&amp;" = 0"</f>
        <v>V_li + 15 * 1 - B_v + 15 * 2,5 = 0</v>
      </c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5"/>
      <c r="AL75" s="115"/>
      <c r="AM75" s="115"/>
      <c r="AN75" s="116"/>
    </row>
    <row r="76" spans="2:40" s="85" customFormat="1" ht="15" thickBot="1" x14ac:dyDescent="0.25">
      <c r="E76" s="85" t="s">
        <v>145</v>
      </c>
      <c r="G76" s="180">
        <f>-E15*E19-K14*G21+G42</f>
        <v>12.5</v>
      </c>
      <c r="H76" s="180"/>
      <c r="I76" s="85" t="s">
        <v>44</v>
      </c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5"/>
      <c r="AL76" s="115"/>
      <c r="AM76" s="115"/>
      <c r="AN76" s="116"/>
    </row>
    <row r="77" spans="2:40" s="85" customFormat="1" ht="19.5" thickTop="1" x14ac:dyDescent="0.35">
      <c r="B77" s="99" t="s">
        <v>135</v>
      </c>
      <c r="E77" s="85" t="str">
        <f>"V_li + "&amp;E15&amp;" * "&amp;E19&amp;" - B_v + "&amp;K14&amp;" * "&amp;G21&amp;" - F1_v = 0"</f>
        <v>V_li + 15 * 1 - B_v + 15 * 2,5 - F1_v = 0</v>
      </c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5"/>
      <c r="AL77" s="115"/>
      <c r="AM77" s="115"/>
      <c r="AN77" s="116"/>
    </row>
    <row r="78" spans="2:40" s="85" customFormat="1" ht="15" thickBot="1" x14ac:dyDescent="0.25">
      <c r="E78" s="85" t="s">
        <v>146</v>
      </c>
      <c r="G78" s="180">
        <f>-E15*E19-K14*G21-K30+G42</f>
        <v>-12.5</v>
      </c>
      <c r="H78" s="180"/>
      <c r="I78" s="85" t="s">
        <v>44</v>
      </c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5"/>
      <c r="AL78" s="115"/>
      <c r="AM78" s="115"/>
      <c r="AN78" s="116"/>
    </row>
    <row r="79" spans="2:40" s="85" customFormat="1" ht="15" thickTop="1" x14ac:dyDescent="0.2"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5"/>
      <c r="AL79" s="115"/>
      <c r="AM79" s="115"/>
      <c r="AN79" s="116"/>
    </row>
    <row r="80" spans="2:40" s="85" customFormat="1" ht="18.75" x14ac:dyDescent="0.35">
      <c r="B80" s="99" t="s">
        <v>147</v>
      </c>
      <c r="E80" s="85" t="str">
        <f>"M_c + "&amp;E15&amp;" * "&amp;E19&amp;" * "&amp;E19/2+G21&amp;" - B_v * "&amp;G21&amp;" + "&amp;K14&amp;" * "&amp;G21&amp;"^2/2 = 0"</f>
        <v>M_c + 15 * 1 * 3 - B_v * 2,5 + 15 * 2,5^2/2 = 0</v>
      </c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5"/>
      <c r="AL80" s="115"/>
      <c r="AM80" s="115"/>
      <c r="AN80" s="116"/>
    </row>
    <row r="81" spans="1:40" s="85" customFormat="1" ht="15" thickBot="1" x14ac:dyDescent="0.25">
      <c r="E81" s="85" t="s">
        <v>148</v>
      </c>
      <c r="G81" s="180">
        <f>-E15*E19*(E19*0.5+G21)-K14*G21^2/2+G42*G21</f>
        <v>70.625</v>
      </c>
      <c r="H81" s="180"/>
      <c r="I81" s="85" t="s">
        <v>33</v>
      </c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5"/>
      <c r="AL81" s="115"/>
      <c r="AM81" s="115"/>
      <c r="AN81" s="116"/>
    </row>
    <row r="82" spans="1:40" s="85" customFormat="1" ht="15" thickTop="1" x14ac:dyDescent="0.2">
      <c r="G82" s="88"/>
      <c r="H82" s="88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5"/>
      <c r="AL82" s="115"/>
      <c r="AM82" s="115"/>
      <c r="AN82" s="116"/>
    </row>
    <row r="83" spans="1:40" s="85" customFormat="1" ht="14.25" x14ac:dyDescent="0.2"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5"/>
      <c r="AL83" s="115"/>
      <c r="AM83" s="115"/>
      <c r="AN83" s="116"/>
    </row>
    <row r="84" spans="1:40" s="85" customFormat="1" ht="14.25" x14ac:dyDescent="0.2">
      <c r="B84" s="85" t="s">
        <v>149</v>
      </c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5"/>
      <c r="AL84" s="115"/>
      <c r="AM84" s="115"/>
      <c r="AN84" s="116"/>
    </row>
    <row r="85" spans="1:40" s="85" customFormat="1" ht="18.75" x14ac:dyDescent="0.35">
      <c r="B85" s="99" t="s">
        <v>140</v>
      </c>
      <c r="E85" s="85" t="s">
        <v>150</v>
      </c>
      <c r="G85" s="119"/>
      <c r="H85" s="119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5"/>
      <c r="AL85" s="115"/>
      <c r="AM85" s="115"/>
      <c r="AN85" s="116"/>
    </row>
    <row r="86" spans="1:40" s="85" customFormat="1" ht="15.75" thickBot="1" x14ac:dyDescent="0.3">
      <c r="B86" s="99"/>
      <c r="E86" s="85" t="s">
        <v>151</v>
      </c>
      <c r="G86" s="180">
        <f>-K29-G36</f>
        <v>-60</v>
      </c>
      <c r="H86" s="180"/>
      <c r="I86" s="85" t="s">
        <v>44</v>
      </c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5"/>
      <c r="AL86" s="115"/>
      <c r="AM86" s="115"/>
      <c r="AN86" s="116"/>
    </row>
    <row r="87" spans="1:40" s="85" customFormat="1" ht="19.5" thickTop="1" x14ac:dyDescent="0.35">
      <c r="B87" s="99" t="s">
        <v>142</v>
      </c>
      <c r="E87" s="85" t="s">
        <v>152</v>
      </c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5"/>
      <c r="AL87" s="115"/>
      <c r="AM87" s="115"/>
      <c r="AN87" s="116"/>
    </row>
    <row r="88" spans="1:40" s="85" customFormat="1" ht="15" thickBot="1" x14ac:dyDescent="0.25">
      <c r="E88" s="85" t="s">
        <v>144</v>
      </c>
      <c r="G88" s="180">
        <f>-K29-G36+K31</f>
        <v>0</v>
      </c>
      <c r="H88" s="180"/>
      <c r="I88" s="85" t="s">
        <v>44</v>
      </c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5"/>
      <c r="AL88" s="115"/>
      <c r="AM88" s="115"/>
      <c r="AN88" s="116"/>
    </row>
    <row r="89" spans="1:40" s="85" customFormat="1" ht="15" thickTop="1" x14ac:dyDescent="0.2"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5"/>
      <c r="AL89" s="115"/>
      <c r="AM89" s="115"/>
      <c r="AN89" s="116"/>
    </row>
    <row r="90" spans="1:40" s="85" customFormat="1" ht="15" x14ac:dyDescent="0.25">
      <c r="A90" s="120"/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84"/>
      <c r="V90" s="8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5"/>
      <c r="AL90" s="115"/>
      <c r="AM90" s="115"/>
      <c r="AN90" s="116"/>
    </row>
    <row r="91" spans="1:40" s="85" customFormat="1" ht="15" x14ac:dyDescent="0.25">
      <c r="A91" s="120"/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84"/>
      <c r="V91" s="8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5"/>
      <c r="AL91" s="115"/>
      <c r="AM91" s="115"/>
      <c r="AN91" s="116"/>
    </row>
    <row r="92" spans="1:40" s="85" customFormat="1" ht="18.75" x14ac:dyDescent="0.35">
      <c r="B92" s="99" t="s">
        <v>133</v>
      </c>
      <c r="E92" s="85" t="str">
        <f>"V_li + D_v - "&amp;K14&amp;" * "&amp;N19&amp;" - F2_v = 0"</f>
        <v>V_li + D_v - 15 * 1 - F2_v = 0</v>
      </c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5"/>
      <c r="AL92" s="115"/>
      <c r="AM92" s="115"/>
      <c r="AN92" s="116"/>
    </row>
    <row r="93" spans="1:40" s="85" customFormat="1" ht="15" thickBot="1" x14ac:dyDescent="0.25">
      <c r="E93" s="85" t="s">
        <v>145</v>
      </c>
      <c r="G93" s="180">
        <f>-G39+K14*N19+K32</f>
        <v>-50</v>
      </c>
      <c r="H93" s="180"/>
      <c r="I93" s="85" t="s">
        <v>44</v>
      </c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5"/>
      <c r="AL93" s="115"/>
      <c r="AM93" s="115"/>
      <c r="AN93" s="116"/>
    </row>
    <row r="94" spans="1:40" s="85" customFormat="1" ht="19.5" thickTop="1" x14ac:dyDescent="0.35">
      <c r="B94" s="99" t="s">
        <v>135</v>
      </c>
      <c r="E94" s="85" t="str">
        <f>"V_re - "&amp;K14&amp;" * "&amp;N19&amp;" - F2_v = 0"</f>
        <v>V_re - 15 * 1 - F2_v = 0</v>
      </c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5"/>
      <c r="AL94" s="115"/>
      <c r="AM94" s="115"/>
      <c r="AN94" s="116"/>
    </row>
    <row r="95" spans="1:40" s="85" customFormat="1" ht="15" thickBot="1" x14ac:dyDescent="0.25">
      <c r="E95" s="85" t="s">
        <v>146</v>
      </c>
      <c r="G95" s="180">
        <f>K14*N19+K32</f>
        <v>15</v>
      </c>
      <c r="H95" s="180"/>
      <c r="I95" s="85" t="s">
        <v>44</v>
      </c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5"/>
      <c r="AL95" s="115"/>
      <c r="AM95" s="115"/>
      <c r="AN95" s="116"/>
    </row>
    <row r="96" spans="1:40" s="85" customFormat="1" ht="15" thickTop="1" x14ac:dyDescent="0.2"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5"/>
      <c r="AL96" s="115"/>
      <c r="AM96" s="115"/>
      <c r="AN96" s="116"/>
    </row>
    <row r="97" spans="1:40" s="85" customFormat="1" ht="18.75" x14ac:dyDescent="0.35">
      <c r="B97" s="99" t="s">
        <v>126</v>
      </c>
      <c r="E97" s="85" t="str">
        <f>"M_d + "&amp;K14&amp;" * "&amp;N19&amp;"^2/2 + F2_v * "&amp;N19&amp;" = 0"</f>
        <v>M_d + 15 * 1^2/2 + F2_v * 1 = 0</v>
      </c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5"/>
      <c r="AL97" s="115"/>
      <c r="AM97" s="115"/>
      <c r="AN97" s="116"/>
    </row>
    <row r="98" spans="1:40" s="85" customFormat="1" ht="15" thickBot="1" x14ac:dyDescent="0.25">
      <c r="E98" s="85" t="s">
        <v>153</v>
      </c>
      <c r="G98" s="181">
        <f>-K14*N19^2/2-K31*N19</f>
        <v>-67.5</v>
      </c>
      <c r="H98" s="181"/>
      <c r="I98" s="85" t="s">
        <v>33</v>
      </c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5"/>
      <c r="AL98" s="115"/>
      <c r="AM98" s="115"/>
      <c r="AN98" s="116"/>
    </row>
    <row r="99" spans="1:40" s="85" customFormat="1" ht="15" thickTop="1" x14ac:dyDescent="0.2"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5"/>
      <c r="AL99" s="115"/>
      <c r="AM99" s="115"/>
      <c r="AN99" s="116"/>
    </row>
    <row r="100" spans="1:40" s="85" customFormat="1" ht="14.25" x14ac:dyDescent="0.2"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5"/>
      <c r="AL100" s="115"/>
      <c r="AM100" s="115"/>
      <c r="AN100" s="116"/>
    </row>
    <row r="101" spans="1:40" s="85" customFormat="1" ht="15" x14ac:dyDescent="0.25">
      <c r="A101" s="98" t="s">
        <v>154</v>
      </c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5"/>
      <c r="AL101" s="115"/>
      <c r="AM101" s="115"/>
      <c r="AN101" s="116"/>
    </row>
    <row r="102" spans="1:40" s="85" customFormat="1" ht="15" x14ac:dyDescent="0.25">
      <c r="A102" s="98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5"/>
      <c r="AL102" s="115"/>
      <c r="AM102" s="115"/>
      <c r="AN102" s="116"/>
    </row>
    <row r="103" spans="1:40" s="85" customFormat="1" ht="15" x14ac:dyDescent="0.25">
      <c r="A103" s="98"/>
      <c r="J103" s="96"/>
      <c r="K103" s="96"/>
      <c r="L103" s="96"/>
      <c r="M103" s="96"/>
      <c r="N103" s="96"/>
      <c r="O103" s="96"/>
      <c r="W103" s="114"/>
      <c r="X103" s="114"/>
      <c r="Y103" s="114"/>
      <c r="Z103" s="114"/>
      <c r="AA103" s="121">
        <f>0/7*E$19</f>
        <v>0</v>
      </c>
      <c r="AB103" s="122">
        <f t="shared" ref="AB103:AB110" si="0">E$15*AA103^2/2</f>
        <v>0</v>
      </c>
      <c r="AC103" s="122"/>
      <c r="AD103" s="122">
        <f>0</f>
        <v>0</v>
      </c>
      <c r="AE103" s="121">
        <f>0</f>
        <v>0</v>
      </c>
      <c r="AF103" s="122"/>
      <c r="AG103" s="122">
        <f>0</f>
        <v>0</v>
      </c>
      <c r="AH103" s="121">
        <v>0</v>
      </c>
      <c r="AI103" s="114"/>
      <c r="AJ103" s="114"/>
      <c r="AK103" s="115"/>
      <c r="AL103" s="115"/>
      <c r="AM103" s="115"/>
      <c r="AN103" s="116"/>
    </row>
    <row r="104" spans="1:40" s="85" customFormat="1" ht="15" x14ac:dyDescent="0.25">
      <c r="A104" s="98"/>
      <c r="J104" s="96"/>
      <c r="K104" s="96"/>
      <c r="L104" s="96"/>
      <c r="M104" s="96"/>
      <c r="N104" s="96"/>
      <c r="O104" s="96"/>
      <c r="S104" s="66" t="s">
        <v>155</v>
      </c>
      <c r="W104" s="114"/>
      <c r="X104" s="114"/>
      <c r="Y104" s="114"/>
      <c r="Z104" s="114"/>
      <c r="AA104" s="121">
        <f>1/7*E$19</f>
        <v>0.14285714285714285</v>
      </c>
      <c r="AB104" s="122">
        <f t="shared" si="0"/>
        <v>0.15306122448979589</v>
      </c>
      <c r="AC104" s="122"/>
      <c r="AD104" s="121">
        <f>E19</f>
        <v>1</v>
      </c>
      <c r="AE104" s="121">
        <f>G62</f>
        <v>-15</v>
      </c>
      <c r="AF104" s="122"/>
      <c r="AG104" s="121">
        <f>E19+G21</f>
        <v>3.5</v>
      </c>
      <c r="AH104" s="121">
        <v>0</v>
      </c>
      <c r="AI104" s="114"/>
      <c r="AJ104" s="114"/>
      <c r="AK104" s="115"/>
      <c r="AL104" s="115"/>
      <c r="AM104" s="115"/>
      <c r="AN104" s="116"/>
    </row>
    <row r="105" spans="1:40" s="85" customFormat="1" ht="15" x14ac:dyDescent="0.25">
      <c r="A105" s="98"/>
      <c r="J105" s="96"/>
      <c r="K105" s="96"/>
      <c r="L105" s="96"/>
      <c r="M105" s="96"/>
      <c r="N105" s="96"/>
      <c r="O105" s="96"/>
      <c r="W105" s="114"/>
      <c r="X105" s="114"/>
      <c r="Y105" s="114"/>
      <c r="Z105" s="114"/>
      <c r="AA105" s="121">
        <f>2/7*E$19</f>
        <v>0.2857142857142857</v>
      </c>
      <c r="AB105" s="122">
        <f t="shared" si="0"/>
        <v>0.61224489795918358</v>
      </c>
      <c r="AC105" s="122"/>
      <c r="AD105" s="121">
        <f>E19</f>
        <v>1</v>
      </c>
      <c r="AE105" s="121">
        <f>G64</f>
        <v>50</v>
      </c>
      <c r="AF105" s="122"/>
      <c r="AG105" s="121">
        <f>AG104</f>
        <v>3.5</v>
      </c>
      <c r="AH105" s="121">
        <f>G73</f>
        <v>-1.531435568635775E-15</v>
      </c>
      <c r="AI105" s="114"/>
      <c r="AJ105" s="114"/>
      <c r="AK105" s="115"/>
      <c r="AL105" s="115"/>
      <c r="AM105" s="115"/>
      <c r="AN105" s="116"/>
    </row>
    <row r="106" spans="1:40" s="85" customFormat="1" ht="15" x14ac:dyDescent="0.25">
      <c r="A106" s="98"/>
      <c r="J106" s="96"/>
      <c r="K106" s="96"/>
      <c r="L106" s="96"/>
      <c r="M106" s="96"/>
      <c r="N106" s="96"/>
      <c r="O106" s="96"/>
      <c r="W106" s="114"/>
      <c r="X106" s="114"/>
      <c r="Y106" s="114"/>
      <c r="Z106" s="114"/>
      <c r="AA106" s="121">
        <f>3/7*E$19</f>
        <v>0.42857142857142855</v>
      </c>
      <c r="AB106" s="122">
        <f t="shared" si="0"/>
        <v>1.3775510204081631</v>
      </c>
      <c r="AC106" s="122"/>
      <c r="AD106" s="121">
        <f>E19+G21</f>
        <v>3.5</v>
      </c>
      <c r="AE106" s="121">
        <f>G76</f>
        <v>12.5</v>
      </c>
      <c r="AF106" s="122"/>
      <c r="AG106" s="121">
        <f>E19+G19</f>
        <v>6</v>
      </c>
      <c r="AH106" s="121">
        <f>G73</f>
        <v>-1.531435568635775E-15</v>
      </c>
      <c r="AI106" s="114"/>
      <c r="AJ106" s="114"/>
      <c r="AK106" s="115"/>
      <c r="AL106" s="115"/>
      <c r="AM106" s="115"/>
      <c r="AN106" s="116"/>
    </row>
    <row r="107" spans="1:40" s="85" customFormat="1" ht="15" x14ac:dyDescent="0.25">
      <c r="A107" s="98"/>
      <c r="J107" s="96"/>
      <c r="K107" s="96"/>
      <c r="L107" s="96"/>
      <c r="M107" s="96"/>
      <c r="N107" s="96"/>
      <c r="O107" s="96"/>
      <c r="W107" s="114"/>
      <c r="X107" s="114"/>
      <c r="Y107" s="114"/>
      <c r="Z107" s="114"/>
      <c r="AA107" s="121">
        <f>4/7*E$19</f>
        <v>0.5714285714285714</v>
      </c>
      <c r="AB107" s="122">
        <f t="shared" si="0"/>
        <v>2.4489795918367343</v>
      </c>
      <c r="AC107" s="122"/>
      <c r="AD107" s="121">
        <f>AD106</f>
        <v>3.5</v>
      </c>
      <c r="AE107" s="121">
        <f>G78</f>
        <v>-12.5</v>
      </c>
      <c r="AF107" s="122"/>
      <c r="AG107" s="121">
        <f>AG106</f>
        <v>6</v>
      </c>
      <c r="AH107" s="121">
        <f>G86</f>
        <v>-60</v>
      </c>
      <c r="AI107" s="114"/>
      <c r="AJ107" s="114"/>
      <c r="AK107" s="115"/>
      <c r="AL107" s="115"/>
      <c r="AM107" s="115"/>
      <c r="AN107" s="116"/>
    </row>
    <row r="108" spans="1:40" s="85" customFormat="1" ht="15" x14ac:dyDescent="0.25">
      <c r="A108" s="98"/>
      <c r="J108" s="96"/>
      <c r="K108" s="96"/>
      <c r="L108" s="96"/>
      <c r="M108" s="96"/>
      <c r="N108" s="96"/>
      <c r="O108" s="96"/>
      <c r="W108" s="114"/>
      <c r="X108" s="114"/>
      <c r="Y108" s="114"/>
      <c r="Z108" s="114"/>
      <c r="AA108" s="121">
        <f>5/7*E$19</f>
        <v>0.7142857142857143</v>
      </c>
      <c r="AB108" s="122">
        <f t="shared" si="0"/>
        <v>3.8265306122448979</v>
      </c>
      <c r="AC108" s="122"/>
      <c r="AD108" s="121">
        <f>E19+G19</f>
        <v>6</v>
      </c>
      <c r="AE108" s="121">
        <f>G93</f>
        <v>-50</v>
      </c>
      <c r="AF108" s="122"/>
      <c r="AG108" s="121">
        <f>E19+G19+N19</f>
        <v>7</v>
      </c>
      <c r="AH108" s="121">
        <f>AH107</f>
        <v>-60</v>
      </c>
      <c r="AI108" s="114"/>
      <c r="AJ108" s="114"/>
      <c r="AK108" s="115"/>
      <c r="AL108" s="115"/>
      <c r="AM108" s="115"/>
      <c r="AN108" s="116"/>
    </row>
    <row r="109" spans="1:40" s="85" customFormat="1" ht="15" x14ac:dyDescent="0.25">
      <c r="A109" s="98"/>
      <c r="J109" s="96"/>
      <c r="K109" s="96"/>
      <c r="L109" s="96"/>
      <c r="M109" s="96"/>
      <c r="N109" s="96"/>
      <c r="O109" s="96"/>
      <c r="W109" s="114"/>
      <c r="X109" s="114"/>
      <c r="Y109" s="114"/>
      <c r="Z109" s="114"/>
      <c r="AA109" s="121">
        <f>6/7*E$19</f>
        <v>0.8571428571428571</v>
      </c>
      <c r="AB109" s="122">
        <f t="shared" si="0"/>
        <v>5.5102040816326525</v>
      </c>
      <c r="AC109" s="122"/>
      <c r="AD109" s="121">
        <f>AD108</f>
        <v>6</v>
      </c>
      <c r="AE109" s="121">
        <f>G95</f>
        <v>15</v>
      </c>
      <c r="AF109" s="122"/>
      <c r="AG109" s="121">
        <f>AG108</f>
        <v>7</v>
      </c>
      <c r="AH109" s="122">
        <f>0</f>
        <v>0</v>
      </c>
      <c r="AI109" s="114"/>
      <c r="AJ109" s="114"/>
      <c r="AK109" s="115"/>
      <c r="AL109" s="115"/>
      <c r="AM109" s="115"/>
      <c r="AN109" s="116"/>
    </row>
    <row r="110" spans="1:40" s="85" customFormat="1" ht="15" x14ac:dyDescent="0.25">
      <c r="A110" s="98"/>
      <c r="J110" s="96"/>
      <c r="K110" s="96"/>
      <c r="L110" s="96"/>
      <c r="M110" s="96"/>
      <c r="N110" s="96"/>
      <c r="O110" s="96"/>
      <c r="W110" s="114"/>
      <c r="X110" s="114"/>
      <c r="Y110" s="114"/>
      <c r="Z110" s="114"/>
      <c r="AA110" s="121">
        <f>7/7*E$19</f>
        <v>1</v>
      </c>
      <c r="AB110" s="122">
        <f t="shared" si="0"/>
        <v>7.5</v>
      </c>
      <c r="AC110" s="122"/>
      <c r="AD110" s="121">
        <f>E19+G19+N19</f>
        <v>7</v>
      </c>
      <c r="AE110" s="121">
        <f>K32</f>
        <v>0</v>
      </c>
      <c r="AF110" s="122"/>
      <c r="AG110" s="122"/>
      <c r="AH110" s="122"/>
      <c r="AI110" s="114"/>
      <c r="AJ110" s="114"/>
      <c r="AK110" s="115"/>
      <c r="AL110" s="115"/>
      <c r="AM110" s="115"/>
      <c r="AN110" s="116"/>
    </row>
    <row r="111" spans="1:40" s="85" customFormat="1" ht="15" x14ac:dyDescent="0.25">
      <c r="A111" s="98"/>
      <c r="J111" s="96"/>
      <c r="K111" s="96"/>
      <c r="L111" s="96"/>
      <c r="M111" s="96"/>
      <c r="N111" s="96"/>
      <c r="O111" s="96"/>
      <c r="W111" s="114"/>
      <c r="X111" s="114"/>
      <c r="Y111" s="114"/>
      <c r="Z111" s="114"/>
      <c r="AA111" s="121">
        <f>AA$110+0/7*G$21</f>
        <v>1</v>
      </c>
      <c r="AB111" s="122">
        <f t="shared" ref="AB111:AB118" si="1">E$15*E$19*(AA111-E$19/2)+K$14*(AA111-E$19)^2/2-G$42*(AA111-E$19)</f>
        <v>7.5</v>
      </c>
      <c r="AC111" s="122"/>
      <c r="AD111" s="121">
        <f>AD110</f>
        <v>7</v>
      </c>
      <c r="AE111" s="121">
        <v>0</v>
      </c>
      <c r="AF111" s="122"/>
      <c r="AG111" s="122"/>
      <c r="AH111" s="122"/>
      <c r="AI111" s="114"/>
      <c r="AJ111" s="114"/>
      <c r="AK111" s="115"/>
      <c r="AL111" s="115"/>
      <c r="AM111" s="115"/>
      <c r="AN111" s="116"/>
    </row>
    <row r="112" spans="1:40" s="85" customFormat="1" ht="15" x14ac:dyDescent="0.25">
      <c r="A112" s="98"/>
      <c r="J112" s="96"/>
      <c r="K112" s="96"/>
      <c r="L112" s="96"/>
      <c r="M112" s="96"/>
      <c r="N112" s="96"/>
      <c r="O112" s="96"/>
      <c r="W112" s="114"/>
      <c r="X112" s="114"/>
      <c r="Y112" s="114"/>
      <c r="Z112" s="114"/>
      <c r="AA112" s="121">
        <f>AA$110+1/7*G$21</f>
        <v>1.3571428571428572</v>
      </c>
      <c r="AB112" s="122">
        <f t="shared" si="1"/>
        <v>-9.4005102040816357</v>
      </c>
      <c r="AC112" s="122"/>
      <c r="AD112" s="122"/>
      <c r="AE112" s="122"/>
      <c r="AF112" s="122"/>
      <c r="AG112" s="122"/>
      <c r="AH112" s="122"/>
      <c r="AI112" s="114"/>
      <c r="AJ112" s="114"/>
      <c r="AK112" s="115"/>
      <c r="AL112" s="115"/>
      <c r="AM112" s="115"/>
      <c r="AN112" s="116"/>
    </row>
    <row r="113" spans="1:40" s="85" customFormat="1" ht="15" x14ac:dyDescent="0.25">
      <c r="A113" s="98"/>
      <c r="J113" s="96"/>
      <c r="K113" s="96"/>
      <c r="L113" s="96"/>
      <c r="M113" s="96"/>
      <c r="N113" s="96"/>
      <c r="O113" s="96"/>
      <c r="W113" s="114"/>
      <c r="X113" s="114"/>
      <c r="Y113" s="114"/>
      <c r="Z113" s="114"/>
      <c r="AA113" s="121">
        <f>AA$110+2/7*G$21</f>
        <v>1.7142857142857142</v>
      </c>
      <c r="AB113" s="122">
        <f t="shared" si="1"/>
        <v>-24.387755102040813</v>
      </c>
      <c r="AC113" s="122"/>
      <c r="AD113" s="122"/>
      <c r="AE113" s="122"/>
      <c r="AF113" s="122"/>
      <c r="AG113" s="122"/>
      <c r="AH113" s="122"/>
      <c r="AI113" s="114"/>
      <c r="AJ113" s="114"/>
      <c r="AK113" s="115"/>
      <c r="AL113" s="115"/>
      <c r="AM113" s="115"/>
      <c r="AN113" s="116"/>
    </row>
    <row r="114" spans="1:40" s="85" customFormat="1" ht="15" x14ac:dyDescent="0.25">
      <c r="A114" s="98"/>
      <c r="J114" s="96"/>
      <c r="K114" s="96"/>
      <c r="L114" s="96"/>
      <c r="M114" s="96"/>
      <c r="N114" s="96"/>
      <c r="O114" s="96"/>
      <c r="S114" s="66" t="s">
        <v>156</v>
      </c>
      <c r="W114" s="114"/>
      <c r="X114" s="114"/>
      <c r="Y114" s="114"/>
      <c r="Z114" s="114"/>
      <c r="AA114" s="121">
        <f>AA$110+3/7*G$21</f>
        <v>2.0714285714285712</v>
      </c>
      <c r="AB114" s="122">
        <f t="shared" si="1"/>
        <v>-37.461734693877538</v>
      </c>
      <c r="AC114" s="122"/>
      <c r="AD114" s="122"/>
      <c r="AE114" s="122"/>
      <c r="AF114" s="122"/>
      <c r="AG114" s="122"/>
      <c r="AH114" s="122"/>
      <c r="AI114" s="114"/>
      <c r="AJ114" s="114"/>
      <c r="AK114" s="115"/>
      <c r="AL114" s="115"/>
      <c r="AM114" s="115"/>
      <c r="AN114" s="116"/>
    </row>
    <row r="115" spans="1:40" s="85" customFormat="1" ht="15" x14ac:dyDescent="0.25">
      <c r="A115" s="98"/>
      <c r="J115" s="96"/>
      <c r="K115" s="96"/>
      <c r="L115" s="96"/>
      <c r="M115" s="96"/>
      <c r="N115" s="96"/>
      <c r="O115" s="96"/>
      <c r="W115" s="114"/>
      <c r="X115" s="114"/>
      <c r="Y115" s="114"/>
      <c r="Z115" s="114"/>
      <c r="AA115" s="121">
        <f>AA$110+4/7*G$21</f>
        <v>2.4285714285714284</v>
      </c>
      <c r="AB115" s="122">
        <f t="shared" si="1"/>
        <v>-48.62244897959183</v>
      </c>
      <c r="AC115" s="122"/>
      <c r="AD115" s="122"/>
      <c r="AE115" s="122"/>
      <c r="AF115" s="122"/>
      <c r="AG115" s="122"/>
      <c r="AH115" s="122"/>
      <c r="AI115" s="114"/>
      <c r="AJ115" s="114"/>
      <c r="AK115" s="115"/>
      <c r="AL115" s="115"/>
      <c r="AM115" s="115"/>
      <c r="AN115" s="116"/>
    </row>
    <row r="116" spans="1:40" s="85" customFormat="1" ht="15" x14ac:dyDescent="0.25">
      <c r="A116" s="98"/>
      <c r="J116" s="96"/>
      <c r="K116" s="96"/>
      <c r="L116" s="96"/>
      <c r="M116" s="96"/>
      <c r="N116" s="96"/>
      <c r="O116" s="96"/>
      <c r="W116" s="114"/>
      <c r="X116" s="114"/>
      <c r="Y116" s="114"/>
      <c r="Z116" s="114"/>
      <c r="AA116" s="121">
        <f>AA$110+5/7*G$21</f>
        <v>2.7857142857142856</v>
      </c>
      <c r="AB116" s="122">
        <f t="shared" si="1"/>
        <v>-57.869897959183675</v>
      </c>
      <c r="AC116" s="122"/>
      <c r="AD116" s="122"/>
      <c r="AE116" s="122"/>
      <c r="AF116" s="122"/>
      <c r="AG116" s="122"/>
      <c r="AH116" s="122"/>
      <c r="AI116" s="114"/>
      <c r="AJ116" s="114"/>
      <c r="AK116" s="115"/>
      <c r="AL116" s="115"/>
      <c r="AM116" s="115"/>
      <c r="AN116" s="116"/>
    </row>
    <row r="117" spans="1:40" s="85" customFormat="1" ht="15" x14ac:dyDescent="0.25">
      <c r="A117" s="98"/>
      <c r="J117" s="96"/>
      <c r="K117" s="96"/>
      <c r="L117" s="96"/>
      <c r="M117" s="96"/>
      <c r="N117" s="96"/>
      <c r="O117" s="96"/>
      <c r="W117" s="114"/>
      <c r="X117" s="114"/>
      <c r="Y117" s="114"/>
      <c r="Z117" s="114"/>
      <c r="AA117" s="121">
        <f>AA$110+6/7*G$21</f>
        <v>3.1428571428571428</v>
      </c>
      <c r="AB117" s="122">
        <f t="shared" si="1"/>
        <v>-65.204081632653057</v>
      </c>
      <c r="AC117" s="122"/>
      <c r="AD117" s="122"/>
      <c r="AE117" s="122"/>
      <c r="AF117" s="122"/>
      <c r="AG117" s="122"/>
      <c r="AH117" s="122"/>
      <c r="AI117" s="114"/>
      <c r="AJ117" s="114"/>
      <c r="AK117" s="115"/>
      <c r="AL117" s="115"/>
      <c r="AM117" s="115"/>
      <c r="AN117" s="116"/>
    </row>
    <row r="118" spans="1:40" s="85" customFormat="1" ht="15" x14ac:dyDescent="0.25">
      <c r="A118" s="98"/>
      <c r="J118" s="96"/>
      <c r="K118" s="96"/>
      <c r="L118" s="96"/>
      <c r="M118" s="96"/>
      <c r="N118" s="96"/>
      <c r="O118" s="96"/>
      <c r="W118" s="114"/>
      <c r="X118" s="114"/>
      <c r="Y118" s="114"/>
      <c r="Z118" s="114"/>
      <c r="AA118" s="121">
        <f>AA$110+7/7*G$21</f>
        <v>3.5</v>
      </c>
      <c r="AB118" s="122">
        <f t="shared" si="1"/>
        <v>-70.625</v>
      </c>
      <c r="AC118" s="122"/>
      <c r="AD118" s="122"/>
      <c r="AE118" s="122"/>
      <c r="AF118" s="122"/>
      <c r="AG118" s="122"/>
      <c r="AH118" s="122"/>
      <c r="AI118" s="114"/>
      <c r="AJ118" s="114"/>
      <c r="AK118" s="115"/>
      <c r="AL118" s="115"/>
      <c r="AM118" s="115"/>
      <c r="AN118" s="116"/>
    </row>
    <row r="119" spans="1:40" s="85" customFormat="1" ht="15" x14ac:dyDescent="0.25">
      <c r="A119" s="98"/>
      <c r="J119" s="96"/>
      <c r="K119" s="96"/>
      <c r="L119" s="96"/>
      <c r="M119" s="96"/>
      <c r="N119" s="96"/>
      <c r="O119" s="96"/>
      <c r="W119" s="114"/>
      <c r="X119" s="114"/>
      <c r="Y119" s="114"/>
      <c r="Z119" s="114"/>
      <c r="AA119" s="121">
        <f>AA$118+0/7*(G$19-G$21)</f>
        <v>3.5</v>
      </c>
      <c r="AB119" s="122">
        <f t="shared" ref="AB119:AB126" si="2">E$15*E$19*(AA119-E$19/2)+K$14*(AA119-E$19)^2/2-G$42*(AA119-E$19)+K$30*(AA119-G$21-E$19)</f>
        <v>-70.625</v>
      </c>
      <c r="AC119" s="122"/>
      <c r="AD119" s="122"/>
      <c r="AE119" s="122"/>
      <c r="AF119" s="122"/>
      <c r="AG119" s="122"/>
      <c r="AH119" s="122"/>
      <c r="AI119" s="114"/>
      <c r="AJ119" s="114"/>
      <c r="AK119" s="115"/>
      <c r="AL119" s="115"/>
      <c r="AM119" s="115"/>
      <c r="AN119" s="116"/>
    </row>
    <row r="120" spans="1:40" s="85" customFormat="1" ht="15" x14ac:dyDescent="0.25">
      <c r="A120" s="98"/>
      <c r="J120" s="96"/>
      <c r="K120" s="96"/>
      <c r="L120" s="96"/>
      <c r="M120" s="96"/>
      <c r="N120" s="96"/>
      <c r="O120" s="96"/>
      <c r="W120" s="114"/>
      <c r="X120" s="114"/>
      <c r="Y120" s="114"/>
      <c r="Z120" s="114"/>
      <c r="AA120" s="121">
        <f>AA$118+1/7*(G$19-G$21)</f>
        <v>3.8571428571428572</v>
      </c>
      <c r="AB120" s="122">
        <f t="shared" si="2"/>
        <v>-65.204081632653057</v>
      </c>
      <c r="AC120" s="122"/>
      <c r="AD120" s="122"/>
      <c r="AE120" s="122"/>
      <c r="AF120" s="122"/>
      <c r="AG120" s="122"/>
      <c r="AH120" s="122"/>
      <c r="AI120" s="114"/>
      <c r="AJ120" s="114"/>
      <c r="AK120" s="115"/>
      <c r="AL120" s="115"/>
      <c r="AM120" s="115"/>
      <c r="AN120" s="116"/>
    </row>
    <row r="121" spans="1:40" s="85" customFormat="1" ht="15" x14ac:dyDescent="0.25">
      <c r="A121" s="98"/>
      <c r="J121" s="96"/>
      <c r="K121" s="96"/>
      <c r="L121" s="96"/>
      <c r="M121" s="96"/>
      <c r="N121" s="96"/>
      <c r="O121" s="96"/>
      <c r="W121" s="114"/>
      <c r="X121" s="114"/>
      <c r="Y121" s="114"/>
      <c r="Z121" s="114"/>
      <c r="AA121" s="121">
        <f>AA$118+2/7*(G$19-G$21)</f>
        <v>4.2142857142857144</v>
      </c>
      <c r="AB121" s="122">
        <f t="shared" si="2"/>
        <v>-57.869897959183675</v>
      </c>
      <c r="AC121" s="122"/>
      <c r="AD121" s="122"/>
      <c r="AE121" s="122"/>
      <c r="AF121" s="122"/>
      <c r="AG121" s="122"/>
      <c r="AH121" s="122"/>
      <c r="AI121" s="114"/>
      <c r="AJ121" s="114"/>
      <c r="AK121" s="115"/>
      <c r="AL121" s="115"/>
      <c r="AM121" s="115"/>
      <c r="AN121" s="116"/>
    </row>
    <row r="122" spans="1:40" s="85" customFormat="1" ht="15" x14ac:dyDescent="0.25">
      <c r="A122" s="98"/>
      <c r="J122" s="96"/>
      <c r="K122" s="96"/>
      <c r="L122" s="96"/>
      <c r="M122" s="96"/>
      <c r="N122" s="96"/>
      <c r="O122" s="96"/>
      <c r="W122" s="114"/>
      <c r="X122" s="114"/>
      <c r="Y122" s="114"/>
      <c r="Z122" s="114"/>
      <c r="AA122" s="121">
        <f>AA$118+3/7*(G$19-G$21)</f>
        <v>4.5714285714285712</v>
      </c>
      <c r="AB122" s="122">
        <f t="shared" si="2"/>
        <v>-48.622448979591837</v>
      </c>
      <c r="AC122" s="122"/>
      <c r="AD122" s="122"/>
      <c r="AE122" s="122"/>
      <c r="AF122" s="122"/>
      <c r="AG122" s="122"/>
      <c r="AH122" s="122"/>
      <c r="AI122" s="114"/>
      <c r="AJ122" s="114"/>
      <c r="AK122" s="115"/>
      <c r="AL122" s="115"/>
      <c r="AM122" s="115"/>
      <c r="AN122" s="116"/>
    </row>
    <row r="123" spans="1:40" s="85" customFormat="1" ht="15" x14ac:dyDescent="0.25">
      <c r="A123" s="98"/>
      <c r="S123" s="66" t="s">
        <v>157</v>
      </c>
      <c r="W123" s="114"/>
      <c r="X123" s="114"/>
      <c r="Y123" s="114"/>
      <c r="Z123" s="114"/>
      <c r="AA123" s="121">
        <f>AA$118+4/7*(G$19-G$21)</f>
        <v>4.9285714285714288</v>
      </c>
      <c r="AB123" s="122">
        <f t="shared" si="2"/>
        <v>-37.461734693877531</v>
      </c>
      <c r="AC123" s="114"/>
      <c r="AD123" s="114"/>
      <c r="AE123" s="114"/>
      <c r="AF123" s="114"/>
      <c r="AG123" s="114"/>
      <c r="AH123" s="114"/>
      <c r="AI123" s="114"/>
      <c r="AJ123" s="114"/>
      <c r="AK123" s="115"/>
      <c r="AL123" s="115"/>
      <c r="AM123" s="115"/>
      <c r="AN123" s="116"/>
    </row>
    <row r="124" spans="1:40" s="85" customFormat="1" ht="15" x14ac:dyDescent="0.25">
      <c r="A124" s="98"/>
      <c r="W124" s="114"/>
      <c r="X124" s="114"/>
      <c r="Y124" s="114"/>
      <c r="Z124" s="114"/>
      <c r="AA124" s="121">
        <f>AA$118+5/7*(G$19-G$21)</f>
        <v>5.2857142857142856</v>
      </c>
      <c r="AB124" s="122">
        <f t="shared" si="2"/>
        <v>-24.387755102040813</v>
      </c>
      <c r="AC124" s="114"/>
      <c r="AD124" s="114"/>
      <c r="AE124" s="114"/>
      <c r="AF124" s="114"/>
      <c r="AG124" s="114"/>
      <c r="AH124" s="114"/>
      <c r="AI124" s="114"/>
      <c r="AJ124" s="114"/>
      <c r="AK124" s="115"/>
      <c r="AL124" s="115"/>
      <c r="AM124" s="115"/>
      <c r="AN124" s="116"/>
    </row>
    <row r="125" spans="1:40" s="85" customFormat="1" ht="15" x14ac:dyDescent="0.25">
      <c r="A125" s="98"/>
      <c r="W125" s="114"/>
      <c r="X125" s="114"/>
      <c r="Y125" s="114"/>
      <c r="Z125" s="114"/>
      <c r="AA125" s="121">
        <f>AA$118+6/7*(G$19-G$21)</f>
        <v>5.6428571428571423</v>
      </c>
      <c r="AB125" s="122">
        <f t="shared" si="2"/>
        <v>-9.4005102040816837</v>
      </c>
      <c r="AC125" s="114"/>
      <c r="AD125" s="114"/>
      <c r="AE125" s="114"/>
      <c r="AF125" s="114"/>
      <c r="AG125" s="114"/>
      <c r="AH125" s="114"/>
      <c r="AI125" s="114"/>
      <c r="AJ125" s="114"/>
      <c r="AK125" s="115"/>
      <c r="AL125" s="115"/>
      <c r="AM125" s="115"/>
      <c r="AN125" s="116"/>
    </row>
    <row r="126" spans="1:40" s="85" customFormat="1" ht="15" x14ac:dyDescent="0.25">
      <c r="A126" s="98"/>
      <c r="W126" s="114"/>
      <c r="X126" s="114"/>
      <c r="Y126" s="114"/>
      <c r="Z126" s="114"/>
      <c r="AA126" s="121">
        <f>AA$118+7/7*(G$19-G$21)</f>
        <v>6</v>
      </c>
      <c r="AB126" s="122">
        <f t="shared" si="2"/>
        <v>7.5</v>
      </c>
      <c r="AC126" s="114"/>
      <c r="AD126" s="114"/>
      <c r="AE126" s="114"/>
      <c r="AF126" s="114"/>
      <c r="AG126" s="114"/>
      <c r="AH126" s="114"/>
      <c r="AI126" s="114"/>
      <c r="AJ126" s="114"/>
      <c r="AK126" s="115"/>
      <c r="AL126" s="115"/>
      <c r="AM126" s="115"/>
      <c r="AN126" s="116"/>
    </row>
    <row r="127" spans="1:40" s="85" customFormat="1" ht="15" x14ac:dyDescent="0.25">
      <c r="A127" s="98"/>
      <c r="W127" s="114"/>
      <c r="X127" s="114"/>
      <c r="Y127" s="114"/>
      <c r="Z127" s="114"/>
      <c r="AA127" s="121">
        <f>AA$126+0/7*N$19</f>
        <v>6</v>
      </c>
      <c r="AB127" s="121">
        <f>E$15*E$19*(AA127-E$19/2)+K$14*(AA127-E$19)^2/2-G$42*(AA127-E$19)+K$30*(AA127-G$21-E$19)-G$39*(AA127-G$19-E$19)</f>
        <v>7.5</v>
      </c>
      <c r="AC127" s="114"/>
      <c r="AD127" s="114"/>
      <c r="AE127" s="114"/>
      <c r="AF127" s="114"/>
      <c r="AG127" s="114"/>
      <c r="AH127" s="114"/>
      <c r="AI127" s="114"/>
      <c r="AJ127" s="114"/>
      <c r="AK127" s="115"/>
      <c r="AL127" s="115"/>
      <c r="AM127" s="115"/>
      <c r="AN127" s="116"/>
    </row>
    <row r="128" spans="1:40" ht="13.5" x14ac:dyDescent="0.25">
      <c r="S128" s="179"/>
      <c r="T128" s="179"/>
      <c r="AA128" s="121">
        <f>AA$126+7/7*N$19</f>
        <v>7</v>
      </c>
      <c r="AB128" s="121">
        <f>E$15*E$19*(AA128-E$19/2)+K$14*(AA128-E$19)^2/2-G$42*(AA128-E$19)+K$30*(AA128-G$21-E$19)-G$39*(AA128-G$19-E$19)</f>
        <v>0</v>
      </c>
      <c r="AG128" s="178"/>
      <c r="AH128" s="178"/>
    </row>
    <row r="129" spans="1:23" ht="13.5" x14ac:dyDescent="0.25">
      <c r="B129" s="123"/>
      <c r="C129" s="76"/>
      <c r="J129" s="177"/>
      <c r="K129" s="177"/>
      <c r="U129" s="177"/>
      <c r="V129" s="177"/>
    </row>
    <row r="130" spans="1:23" ht="13.5" x14ac:dyDescent="0.25">
      <c r="B130" s="123"/>
      <c r="E130" s="177"/>
      <c r="F130" s="177"/>
      <c r="M130" s="179"/>
      <c r="N130" s="179"/>
      <c r="P130" s="177"/>
      <c r="Q130" s="177"/>
    </row>
    <row r="131" spans="1:23" ht="13.5" x14ac:dyDescent="0.25">
      <c r="A131" s="92" t="s">
        <v>101</v>
      </c>
      <c r="L131" s="82"/>
    </row>
    <row r="132" spans="1:23" ht="13.5" x14ac:dyDescent="0.25">
      <c r="A132" s="92" t="s">
        <v>63</v>
      </c>
      <c r="L132" s="82"/>
    </row>
    <row r="133" spans="1:23" ht="13.5" x14ac:dyDescent="0.25">
      <c r="A133" s="92" t="s">
        <v>64</v>
      </c>
      <c r="B133" s="76"/>
      <c r="C133" s="76"/>
      <c r="M133" s="76"/>
      <c r="N133" s="76"/>
    </row>
    <row r="134" spans="1:23" ht="13.5" x14ac:dyDescent="0.25">
      <c r="A134" s="92" t="s">
        <v>65</v>
      </c>
      <c r="D134" s="101"/>
      <c r="E134" s="101"/>
      <c r="O134" s="101"/>
      <c r="P134" s="101"/>
    </row>
    <row r="135" spans="1:23" ht="13.5" x14ac:dyDescent="0.25">
      <c r="A135" s="92"/>
    </row>
    <row r="136" spans="1:23" ht="13.5" x14ac:dyDescent="0.25">
      <c r="A136" s="92" t="s">
        <v>66</v>
      </c>
      <c r="I136" s="102"/>
      <c r="J136" s="102"/>
      <c r="T136" s="102"/>
      <c r="U136" s="102"/>
    </row>
    <row r="137" spans="1:23" ht="13.5" x14ac:dyDescent="0.25">
      <c r="A137" s="92" t="s">
        <v>67</v>
      </c>
    </row>
    <row r="138" spans="1:23" ht="13.5" x14ac:dyDescent="0.25">
      <c r="A138" s="92"/>
      <c r="H138" s="76"/>
      <c r="I138" s="76"/>
    </row>
    <row r="139" spans="1:23" ht="13.5" x14ac:dyDescent="0.25">
      <c r="A139" s="92" t="s">
        <v>102</v>
      </c>
    </row>
    <row r="140" spans="1:23" x14ac:dyDescent="0.2">
      <c r="A140" s="175" t="s">
        <v>68</v>
      </c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</row>
    <row r="141" spans="1:23" x14ac:dyDescent="0.2">
      <c r="A141" s="176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</row>
    <row r="142" spans="1:23" x14ac:dyDescent="0.2">
      <c r="A142" s="82"/>
    </row>
    <row r="143" spans="1:23" x14ac:dyDescent="0.2">
      <c r="B143" s="76"/>
      <c r="C143" s="76"/>
    </row>
    <row r="144" spans="1:23" x14ac:dyDescent="0.2">
      <c r="D144" s="101"/>
      <c r="E144" s="101"/>
    </row>
    <row r="146" spans="9:10" x14ac:dyDescent="0.2">
      <c r="I146" s="177"/>
      <c r="J146" s="177"/>
    </row>
  </sheetData>
  <sheetProtection algorithmName="SHA-512" hashValue="eONiZNgsBgYRjAgV02RNmOXPDYuEC5JISVoxGf4AFjtr+0DOo8/lMZaTzxwLupHGsKEG2pR1wFqhat+8rAU/eQ==" saltValue="eBmzQymqejwApIkA8rZxOg==" spinCount="100000" sheet="1" objects="1" scenarios="1" selectLockedCells="1"/>
  <mergeCells count="38">
    <mergeCell ref="N19:P19"/>
    <mergeCell ref="K32:L32"/>
    <mergeCell ref="A9:B9"/>
    <mergeCell ref="A10:B10"/>
    <mergeCell ref="H15:H16"/>
    <mergeCell ref="E19:F19"/>
    <mergeCell ref="G19:M19"/>
    <mergeCell ref="G21:H21"/>
    <mergeCell ref="A25:B25"/>
    <mergeCell ref="K29:L29"/>
    <mergeCell ref="K30:L30"/>
    <mergeCell ref="K31:L31"/>
    <mergeCell ref="G81:H81"/>
    <mergeCell ref="G36:H36"/>
    <mergeCell ref="G39:H39"/>
    <mergeCell ref="G42:H42"/>
    <mergeCell ref="G59:H59"/>
    <mergeCell ref="G62:H62"/>
    <mergeCell ref="G64:H64"/>
    <mergeCell ref="G67:H67"/>
    <mergeCell ref="G71:H71"/>
    <mergeCell ref="G73:H73"/>
    <mergeCell ref="G76:H76"/>
    <mergeCell ref="G78:H78"/>
    <mergeCell ref="G86:H86"/>
    <mergeCell ref="G88:H88"/>
    <mergeCell ref="G93:H93"/>
    <mergeCell ref="G95:H95"/>
    <mergeCell ref="G98:H98"/>
    <mergeCell ref="A140:W141"/>
    <mergeCell ref="I146:J146"/>
    <mergeCell ref="AG128:AH128"/>
    <mergeCell ref="J129:K129"/>
    <mergeCell ref="U129:V129"/>
    <mergeCell ref="E130:F130"/>
    <mergeCell ref="M130:N130"/>
    <mergeCell ref="P130:Q130"/>
    <mergeCell ref="S128:T128"/>
  </mergeCells>
  <hyperlinks>
    <hyperlink ref="A140" r:id="rId1" xr:uid="{EC489320-DB73-402B-B40B-1E2F59A86A23}"/>
  </hyperlinks>
  <printOptions horizontalCentered="1"/>
  <pageMargins left="0.59055118110236227" right="0.59055118110236227" top="0.39370078740157483" bottom="0.78740157480314965" header="0.51181102362204722" footer="0.51181102362204722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0E965-D04C-4A9C-BB15-453BEDB48DDB}">
  <dimension ref="A1:AE68"/>
  <sheetViews>
    <sheetView showGridLines="0" view="pageBreakPreview" zoomScaleNormal="100" zoomScaleSheetLayoutView="100" workbookViewId="0">
      <selection activeCell="R29" sqref="R29:S29"/>
    </sheetView>
  </sheetViews>
  <sheetFormatPr baseColWidth="10" defaultRowHeight="12.75" x14ac:dyDescent="0.2"/>
  <cols>
    <col min="1" max="1" width="8.140625" style="64" customWidth="1"/>
    <col min="2" max="27" width="3.7109375" style="64" customWidth="1"/>
    <col min="28" max="256" width="11.42578125" style="64"/>
    <col min="257" max="257" width="8.140625" style="64" customWidth="1"/>
    <col min="258" max="283" width="3.7109375" style="64" customWidth="1"/>
    <col min="284" max="512" width="11.42578125" style="64"/>
    <col min="513" max="513" width="8.140625" style="64" customWidth="1"/>
    <col min="514" max="539" width="3.7109375" style="64" customWidth="1"/>
    <col min="540" max="768" width="11.42578125" style="64"/>
    <col min="769" max="769" width="8.140625" style="64" customWidth="1"/>
    <col min="770" max="795" width="3.7109375" style="64" customWidth="1"/>
    <col min="796" max="1024" width="11.42578125" style="64"/>
    <col min="1025" max="1025" width="8.140625" style="64" customWidth="1"/>
    <col min="1026" max="1051" width="3.7109375" style="64" customWidth="1"/>
    <col min="1052" max="1280" width="11.42578125" style="64"/>
    <col min="1281" max="1281" width="8.140625" style="64" customWidth="1"/>
    <col min="1282" max="1307" width="3.7109375" style="64" customWidth="1"/>
    <col min="1308" max="1536" width="11.42578125" style="64"/>
    <col min="1537" max="1537" width="8.140625" style="64" customWidth="1"/>
    <col min="1538" max="1563" width="3.7109375" style="64" customWidth="1"/>
    <col min="1564" max="1792" width="11.42578125" style="64"/>
    <col min="1793" max="1793" width="8.140625" style="64" customWidth="1"/>
    <col min="1794" max="1819" width="3.7109375" style="64" customWidth="1"/>
    <col min="1820" max="2048" width="11.42578125" style="64"/>
    <col min="2049" max="2049" width="8.140625" style="64" customWidth="1"/>
    <col min="2050" max="2075" width="3.7109375" style="64" customWidth="1"/>
    <col min="2076" max="2304" width="11.42578125" style="64"/>
    <col min="2305" max="2305" width="8.140625" style="64" customWidth="1"/>
    <col min="2306" max="2331" width="3.7109375" style="64" customWidth="1"/>
    <col min="2332" max="2560" width="11.42578125" style="64"/>
    <col min="2561" max="2561" width="8.140625" style="64" customWidth="1"/>
    <col min="2562" max="2587" width="3.7109375" style="64" customWidth="1"/>
    <col min="2588" max="2816" width="11.42578125" style="64"/>
    <col min="2817" max="2817" width="8.140625" style="64" customWidth="1"/>
    <col min="2818" max="2843" width="3.7109375" style="64" customWidth="1"/>
    <col min="2844" max="3072" width="11.42578125" style="64"/>
    <col min="3073" max="3073" width="8.140625" style="64" customWidth="1"/>
    <col min="3074" max="3099" width="3.7109375" style="64" customWidth="1"/>
    <col min="3100" max="3328" width="11.42578125" style="64"/>
    <col min="3329" max="3329" width="8.140625" style="64" customWidth="1"/>
    <col min="3330" max="3355" width="3.7109375" style="64" customWidth="1"/>
    <col min="3356" max="3584" width="11.42578125" style="64"/>
    <col min="3585" max="3585" width="8.140625" style="64" customWidth="1"/>
    <col min="3586" max="3611" width="3.7109375" style="64" customWidth="1"/>
    <col min="3612" max="3840" width="11.42578125" style="64"/>
    <col min="3841" max="3841" width="8.140625" style="64" customWidth="1"/>
    <col min="3842" max="3867" width="3.7109375" style="64" customWidth="1"/>
    <col min="3868" max="4096" width="11.42578125" style="64"/>
    <col min="4097" max="4097" width="8.140625" style="64" customWidth="1"/>
    <col min="4098" max="4123" width="3.7109375" style="64" customWidth="1"/>
    <col min="4124" max="4352" width="11.42578125" style="64"/>
    <col min="4353" max="4353" width="8.140625" style="64" customWidth="1"/>
    <col min="4354" max="4379" width="3.7109375" style="64" customWidth="1"/>
    <col min="4380" max="4608" width="11.42578125" style="64"/>
    <col min="4609" max="4609" width="8.140625" style="64" customWidth="1"/>
    <col min="4610" max="4635" width="3.7109375" style="64" customWidth="1"/>
    <col min="4636" max="4864" width="11.42578125" style="64"/>
    <col min="4865" max="4865" width="8.140625" style="64" customWidth="1"/>
    <col min="4866" max="4891" width="3.7109375" style="64" customWidth="1"/>
    <col min="4892" max="5120" width="11.42578125" style="64"/>
    <col min="5121" max="5121" width="8.140625" style="64" customWidth="1"/>
    <col min="5122" max="5147" width="3.7109375" style="64" customWidth="1"/>
    <col min="5148" max="5376" width="11.42578125" style="64"/>
    <col min="5377" max="5377" width="8.140625" style="64" customWidth="1"/>
    <col min="5378" max="5403" width="3.7109375" style="64" customWidth="1"/>
    <col min="5404" max="5632" width="11.42578125" style="64"/>
    <col min="5633" max="5633" width="8.140625" style="64" customWidth="1"/>
    <col min="5634" max="5659" width="3.7109375" style="64" customWidth="1"/>
    <col min="5660" max="5888" width="11.42578125" style="64"/>
    <col min="5889" max="5889" width="8.140625" style="64" customWidth="1"/>
    <col min="5890" max="5915" width="3.7109375" style="64" customWidth="1"/>
    <col min="5916" max="6144" width="11.42578125" style="64"/>
    <col min="6145" max="6145" width="8.140625" style="64" customWidth="1"/>
    <col min="6146" max="6171" width="3.7109375" style="64" customWidth="1"/>
    <col min="6172" max="6400" width="11.42578125" style="64"/>
    <col min="6401" max="6401" width="8.140625" style="64" customWidth="1"/>
    <col min="6402" max="6427" width="3.7109375" style="64" customWidth="1"/>
    <col min="6428" max="6656" width="11.42578125" style="64"/>
    <col min="6657" max="6657" width="8.140625" style="64" customWidth="1"/>
    <col min="6658" max="6683" width="3.7109375" style="64" customWidth="1"/>
    <col min="6684" max="6912" width="11.42578125" style="64"/>
    <col min="6913" max="6913" width="8.140625" style="64" customWidth="1"/>
    <col min="6914" max="6939" width="3.7109375" style="64" customWidth="1"/>
    <col min="6940" max="7168" width="11.42578125" style="64"/>
    <col min="7169" max="7169" width="8.140625" style="64" customWidth="1"/>
    <col min="7170" max="7195" width="3.7109375" style="64" customWidth="1"/>
    <col min="7196" max="7424" width="11.42578125" style="64"/>
    <col min="7425" max="7425" width="8.140625" style="64" customWidth="1"/>
    <col min="7426" max="7451" width="3.7109375" style="64" customWidth="1"/>
    <col min="7452" max="7680" width="11.42578125" style="64"/>
    <col min="7681" max="7681" width="8.140625" style="64" customWidth="1"/>
    <col min="7682" max="7707" width="3.7109375" style="64" customWidth="1"/>
    <col min="7708" max="7936" width="11.42578125" style="64"/>
    <col min="7937" max="7937" width="8.140625" style="64" customWidth="1"/>
    <col min="7938" max="7963" width="3.7109375" style="64" customWidth="1"/>
    <col min="7964" max="8192" width="11.42578125" style="64"/>
    <col min="8193" max="8193" width="8.140625" style="64" customWidth="1"/>
    <col min="8194" max="8219" width="3.7109375" style="64" customWidth="1"/>
    <col min="8220" max="8448" width="11.42578125" style="64"/>
    <col min="8449" max="8449" width="8.140625" style="64" customWidth="1"/>
    <col min="8450" max="8475" width="3.7109375" style="64" customWidth="1"/>
    <col min="8476" max="8704" width="11.42578125" style="64"/>
    <col min="8705" max="8705" width="8.140625" style="64" customWidth="1"/>
    <col min="8706" max="8731" width="3.7109375" style="64" customWidth="1"/>
    <col min="8732" max="8960" width="11.42578125" style="64"/>
    <col min="8961" max="8961" width="8.140625" style="64" customWidth="1"/>
    <col min="8962" max="8987" width="3.7109375" style="64" customWidth="1"/>
    <col min="8988" max="9216" width="11.42578125" style="64"/>
    <col min="9217" max="9217" width="8.140625" style="64" customWidth="1"/>
    <col min="9218" max="9243" width="3.7109375" style="64" customWidth="1"/>
    <col min="9244" max="9472" width="11.42578125" style="64"/>
    <col min="9473" max="9473" width="8.140625" style="64" customWidth="1"/>
    <col min="9474" max="9499" width="3.7109375" style="64" customWidth="1"/>
    <col min="9500" max="9728" width="11.42578125" style="64"/>
    <col min="9729" max="9729" width="8.140625" style="64" customWidth="1"/>
    <col min="9730" max="9755" width="3.7109375" style="64" customWidth="1"/>
    <col min="9756" max="9984" width="11.42578125" style="64"/>
    <col min="9985" max="9985" width="8.140625" style="64" customWidth="1"/>
    <col min="9986" max="10011" width="3.7109375" style="64" customWidth="1"/>
    <col min="10012" max="10240" width="11.42578125" style="64"/>
    <col min="10241" max="10241" width="8.140625" style="64" customWidth="1"/>
    <col min="10242" max="10267" width="3.7109375" style="64" customWidth="1"/>
    <col min="10268" max="10496" width="11.42578125" style="64"/>
    <col min="10497" max="10497" width="8.140625" style="64" customWidth="1"/>
    <col min="10498" max="10523" width="3.7109375" style="64" customWidth="1"/>
    <col min="10524" max="10752" width="11.42578125" style="64"/>
    <col min="10753" max="10753" width="8.140625" style="64" customWidth="1"/>
    <col min="10754" max="10779" width="3.7109375" style="64" customWidth="1"/>
    <col min="10780" max="11008" width="11.42578125" style="64"/>
    <col min="11009" max="11009" width="8.140625" style="64" customWidth="1"/>
    <col min="11010" max="11035" width="3.7109375" style="64" customWidth="1"/>
    <col min="11036" max="11264" width="11.42578125" style="64"/>
    <col min="11265" max="11265" width="8.140625" style="64" customWidth="1"/>
    <col min="11266" max="11291" width="3.7109375" style="64" customWidth="1"/>
    <col min="11292" max="11520" width="11.42578125" style="64"/>
    <col min="11521" max="11521" width="8.140625" style="64" customWidth="1"/>
    <col min="11522" max="11547" width="3.7109375" style="64" customWidth="1"/>
    <col min="11548" max="11776" width="11.42578125" style="64"/>
    <col min="11777" max="11777" width="8.140625" style="64" customWidth="1"/>
    <col min="11778" max="11803" width="3.7109375" style="64" customWidth="1"/>
    <col min="11804" max="12032" width="11.42578125" style="64"/>
    <col min="12033" max="12033" width="8.140625" style="64" customWidth="1"/>
    <col min="12034" max="12059" width="3.7109375" style="64" customWidth="1"/>
    <col min="12060" max="12288" width="11.42578125" style="64"/>
    <col min="12289" max="12289" width="8.140625" style="64" customWidth="1"/>
    <col min="12290" max="12315" width="3.7109375" style="64" customWidth="1"/>
    <col min="12316" max="12544" width="11.42578125" style="64"/>
    <col min="12545" max="12545" width="8.140625" style="64" customWidth="1"/>
    <col min="12546" max="12571" width="3.7109375" style="64" customWidth="1"/>
    <col min="12572" max="12800" width="11.42578125" style="64"/>
    <col min="12801" max="12801" width="8.140625" style="64" customWidth="1"/>
    <col min="12802" max="12827" width="3.7109375" style="64" customWidth="1"/>
    <col min="12828" max="13056" width="11.42578125" style="64"/>
    <col min="13057" max="13057" width="8.140625" style="64" customWidth="1"/>
    <col min="13058" max="13083" width="3.7109375" style="64" customWidth="1"/>
    <col min="13084" max="13312" width="11.42578125" style="64"/>
    <col min="13313" max="13313" width="8.140625" style="64" customWidth="1"/>
    <col min="13314" max="13339" width="3.7109375" style="64" customWidth="1"/>
    <col min="13340" max="13568" width="11.42578125" style="64"/>
    <col min="13569" max="13569" width="8.140625" style="64" customWidth="1"/>
    <col min="13570" max="13595" width="3.7109375" style="64" customWidth="1"/>
    <col min="13596" max="13824" width="11.42578125" style="64"/>
    <col min="13825" max="13825" width="8.140625" style="64" customWidth="1"/>
    <col min="13826" max="13851" width="3.7109375" style="64" customWidth="1"/>
    <col min="13852" max="14080" width="11.42578125" style="64"/>
    <col min="14081" max="14081" width="8.140625" style="64" customWidth="1"/>
    <col min="14082" max="14107" width="3.7109375" style="64" customWidth="1"/>
    <col min="14108" max="14336" width="11.42578125" style="64"/>
    <col min="14337" max="14337" width="8.140625" style="64" customWidth="1"/>
    <col min="14338" max="14363" width="3.7109375" style="64" customWidth="1"/>
    <col min="14364" max="14592" width="11.42578125" style="64"/>
    <col min="14593" max="14593" width="8.140625" style="64" customWidth="1"/>
    <col min="14594" max="14619" width="3.7109375" style="64" customWidth="1"/>
    <col min="14620" max="14848" width="11.42578125" style="64"/>
    <col min="14849" max="14849" width="8.140625" style="64" customWidth="1"/>
    <col min="14850" max="14875" width="3.7109375" style="64" customWidth="1"/>
    <col min="14876" max="15104" width="11.42578125" style="64"/>
    <col min="15105" max="15105" width="8.140625" style="64" customWidth="1"/>
    <col min="15106" max="15131" width="3.7109375" style="64" customWidth="1"/>
    <col min="15132" max="15360" width="11.42578125" style="64"/>
    <col min="15361" max="15361" width="8.140625" style="64" customWidth="1"/>
    <col min="15362" max="15387" width="3.7109375" style="64" customWidth="1"/>
    <col min="15388" max="15616" width="11.42578125" style="64"/>
    <col min="15617" max="15617" width="8.140625" style="64" customWidth="1"/>
    <col min="15618" max="15643" width="3.7109375" style="64" customWidth="1"/>
    <col min="15644" max="15872" width="11.42578125" style="64"/>
    <col min="15873" max="15873" width="8.140625" style="64" customWidth="1"/>
    <col min="15874" max="15899" width="3.7109375" style="64" customWidth="1"/>
    <col min="15900" max="16128" width="11.42578125" style="64"/>
    <col min="16129" max="16129" width="8.140625" style="64" customWidth="1"/>
    <col min="16130" max="16155" width="3.7109375" style="64" customWidth="1"/>
    <col min="16156" max="16384" width="11.42578125" style="64"/>
  </cols>
  <sheetData>
    <row r="1" spans="1:22" x14ac:dyDescent="0.2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22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P2" s="65" t="s">
        <v>93</v>
      </c>
      <c r="Q2" s="66" t="str">
        <f>INFOBOX!B2</f>
        <v>D E M O V E R S I O N</v>
      </c>
    </row>
    <row r="3" spans="1:22" x14ac:dyDescent="0.2">
      <c r="A3" s="63"/>
      <c r="B3" s="63"/>
      <c r="C3" s="64" t="s">
        <v>94</v>
      </c>
      <c r="E3" s="63"/>
      <c r="F3" s="63"/>
      <c r="G3" s="63"/>
      <c r="H3" s="63"/>
      <c r="I3" s="63"/>
      <c r="J3" s="63"/>
      <c r="P3" s="67"/>
      <c r="Q3" s="66" t="str">
        <f>INFOBOX!B3</f>
        <v>eingeschränkte Funktionalität</v>
      </c>
      <c r="R3" s="66"/>
      <c r="S3" s="66"/>
      <c r="T3" s="66"/>
      <c r="U3" s="66"/>
      <c r="V3" s="66"/>
    </row>
    <row r="4" spans="1:22" ht="12.75" customHeight="1" x14ac:dyDescent="0.2">
      <c r="A4" s="68"/>
      <c r="C4" s="64" t="s">
        <v>95</v>
      </c>
      <c r="K4" s="69"/>
      <c r="L4" s="69"/>
      <c r="M4" s="69"/>
      <c r="N4" s="69"/>
      <c r="O4" s="69"/>
      <c r="P4" s="70"/>
      <c r="Q4" s="66" t="str">
        <f>INFOBOX!B4</f>
        <v>office@statikklasse.at</v>
      </c>
      <c r="R4" s="71"/>
      <c r="S4" s="66"/>
      <c r="T4" s="66"/>
      <c r="U4" s="66"/>
      <c r="V4" s="66"/>
    </row>
    <row r="5" spans="1:22" ht="13.5" customHeight="1" x14ac:dyDescent="0.2">
      <c r="K5" s="82"/>
      <c r="L5" s="82"/>
      <c r="M5" s="82"/>
      <c r="N5" s="82"/>
      <c r="O5" s="82"/>
      <c r="P5" s="82"/>
      <c r="Q5" s="82"/>
      <c r="R5" s="82"/>
    </row>
    <row r="6" spans="1:22" x14ac:dyDescent="0.2">
      <c r="A6" s="72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</row>
    <row r="7" spans="1:22" x14ac:dyDescent="0.2">
      <c r="A7" s="94" t="s">
        <v>96</v>
      </c>
      <c r="B7" s="64" t="s">
        <v>158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</row>
    <row r="8" spans="1:22" x14ac:dyDescent="0.2">
      <c r="A8" s="79" t="s">
        <v>159</v>
      </c>
      <c r="B8" s="75" t="s">
        <v>160</v>
      </c>
      <c r="C8" s="74"/>
    </row>
    <row r="9" spans="1:22" x14ac:dyDescent="0.2">
      <c r="C9" s="74"/>
    </row>
    <row r="10" spans="1:22" ht="13.5" x14ac:dyDescent="0.25">
      <c r="B10" s="206">
        <f t="shared" ref="B10:B15" si="0">O12*100</f>
        <v>1</v>
      </c>
      <c r="C10" s="206"/>
      <c r="D10" s="96" t="s">
        <v>161</v>
      </c>
      <c r="E10" s="124" t="str">
        <f t="shared" ref="E10:E15" si="1">K12</f>
        <v>Parkett</v>
      </c>
      <c r="F10" s="125"/>
      <c r="K10" s="126" t="s">
        <v>162</v>
      </c>
      <c r="L10" s="126"/>
      <c r="M10" s="126"/>
      <c r="N10" s="127"/>
      <c r="O10" s="126"/>
      <c r="P10" s="128" t="s">
        <v>163</v>
      </c>
      <c r="Q10" s="128"/>
      <c r="R10" s="217" t="s">
        <v>164</v>
      </c>
      <c r="S10" s="218"/>
      <c r="T10" s="128"/>
      <c r="U10" s="128" t="s">
        <v>165</v>
      </c>
      <c r="V10" s="126"/>
    </row>
    <row r="11" spans="1:22" ht="13.5" x14ac:dyDescent="0.25">
      <c r="B11" s="206">
        <f t="shared" si="0"/>
        <v>6</v>
      </c>
      <c r="C11" s="206"/>
      <c r="D11" s="96" t="s">
        <v>161</v>
      </c>
      <c r="E11" s="124" t="str">
        <f t="shared" si="1"/>
        <v>Zementestrich</v>
      </c>
      <c r="F11" s="125"/>
      <c r="K11" s="81"/>
      <c r="L11" s="81"/>
      <c r="M11" s="81"/>
      <c r="N11" s="129"/>
      <c r="O11" s="81"/>
      <c r="P11" s="130" t="s">
        <v>58</v>
      </c>
      <c r="Q11" s="130"/>
      <c r="R11" s="219" t="s">
        <v>103</v>
      </c>
      <c r="S11" s="220"/>
      <c r="T11" s="130"/>
      <c r="U11" s="130" t="s">
        <v>166</v>
      </c>
      <c r="V11" s="81"/>
    </row>
    <row r="12" spans="1:22" ht="13.5" x14ac:dyDescent="0.25">
      <c r="B12" s="206">
        <f t="shared" si="0"/>
        <v>7.0000000000000009</v>
      </c>
      <c r="C12" s="206"/>
      <c r="D12" s="96" t="s">
        <v>161</v>
      </c>
      <c r="E12" s="124" t="str">
        <f t="shared" si="1"/>
        <v>Styropobeton i.M.</v>
      </c>
      <c r="F12" s="125"/>
      <c r="K12" s="207" t="s">
        <v>167</v>
      </c>
      <c r="L12" s="208"/>
      <c r="M12" s="208"/>
      <c r="N12" s="209"/>
      <c r="O12" s="210">
        <v>0.01</v>
      </c>
      <c r="P12" s="210"/>
      <c r="Q12" s="211"/>
      <c r="R12" s="212">
        <v>6</v>
      </c>
      <c r="S12" s="213"/>
      <c r="T12" s="223">
        <f t="shared" ref="T12:T17" si="2">O12*R12</f>
        <v>0.06</v>
      </c>
      <c r="U12" s="223"/>
      <c r="V12" s="223"/>
    </row>
    <row r="13" spans="1:22" ht="13.5" x14ac:dyDescent="0.25">
      <c r="B13" s="206">
        <f t="shared" si="0"/>
        <v>20</v>
      </c>
      <c r="C13" s="206"/>
      <c r="D13" s="96" t="s">
        <v>161</v>
      </c>
      <c r="E13" s="124" t="str">
        <f t="shared" si="1"/>
        <v>Dippelbaum</v>
      </c>
      <c r="F13" s="125"/>
      <c r="K13" s="190" t="s">
        <v>168</v>
      </c>
      <c r="L13" s="191"/>
      <c r="M13" s="191"/>
      <c r="N13" s="192"/>
      <c r="O13" s="193">
        <v>0.06</v>
      </c>
      <c r="P13" s="193"/>
      <c r="Q13" s="194"/>
      <c r="R13" s="195">
        <v>22</v>
      </c>
      <c r="S13" s="196"/>
      <c r="T13" s="234">
        <f t="shared" si="2"/>
        <v>1.3199999999999998</v>
      </c>
      <c r="U13" s="234"/>
      <c r="V13" s="234"/>
    </row>
    <row r="14" spans="1:22" ht="13.5" x14ac:dyDescent="0.25">
      <c r="B14" s="206">
        <f t="shared" si="0"/>
        <v>2</v>
      </c>
      <c r="C14" s="206"/>
      <c r="D14" s="96" t="s">
        <v>161</v>
      </c>
      <c r="E14" s="124" t="str">
        <f t="shared" si="1"/>
        <v>Schalung</v>
      </c>
      <c r="F14" s="125"/>
      <c r="K14" s="190" t="s">
        <v>169</v>
      </c>
      <c r="L14" s="191"/>
      <c r="M14" s="191"/>
      <c r="N14" s="192"/>
      <c r="O14" s="193">
        <v>7.0000000000000007E-2</v>
      </c>
      <c r="P14" s="193"/>
      <c r="Q14" s="194"/>
      <c r="R14" s="195">
        <v>12</v>
      </c>
      <c r="S14" s="196"/>
      <c r="T14" s="234">
        <f t="shared" si="2"/>
        <v>0.84000000000000008</v>
      </c>
      <c r="U14" s="234"/>
      <c r="V14" s="234"/>
    </row>
    <row r="15" spans="1:22" ht="13.5" x14ac:dyDescent="0.25">
      <c r="B15" s="206">
        <f t="shared" si="0"/>
        <v>2</v>
      </c>
      <c r="C15" s="206"/>
      <c r="D15" s="96" t="s">
        <v>161</v>
      </c>
      <c r="E15" s="124" t="str">
        <f t="shared" si="1"/>
        <v>Innenputz</v>
      </c>
      <c r="F15" s="125"/>
      <c r="K15" s="190" t="s">
        <v>170</v>
      </c>
      <c r="L15" s="191"/>
      <c r="M15" s="191"/>
      <c r="N15" s="192"/>
      <c r="O15" s="193">
        <v>0.2</v>
      </c>
      <c r="P15" s="193"/>
      <c r="Q15" s="194"/>
      <c r="R15" s="195">
        <v>6</v>
      </c>
      <c r="S15" s="196"/>
      <c r="T15" s="234">
        <f t="shared" si="2"/>
        <v>1.2000000000000002</v>
      </c>
      <c r="U15" s="234"/>
      <c r="V15" s="234"/>
    </row>
    <row r="16" spans="1:22" x14ac:dyDescent="0.2">
      <c r="K16" s="190" t="s">
        <v>171</v>
      </c>
      <c r="L16" s="191"/>
      <c r="M16" s="191"/>
      <c r="N16" s="192"/>
      <c r="O16" s="193">
        <v>0.02</v>
      </c>
      <c r="P16" s="193"/>
      <c r="Q16" s="194"/>
      <c r="R16" s="195">
        <v>6</v>
      </c>
      <c r="S16" s="196"/>
      <c r="T16" s="234">
        <f t="shared" si="2"/>
        <v>0.12</v>
      </c>
      <c r="U16" s="234"/>
      <c r="V16" s="234"/>
    </row>
    <row r="17" spans="1:31" x14ac:dyDescent="0.2">
      <c r="K17" s="198" t="s">
        <v>172</v>
      </c>
      <c r="L17" s="199"/>
      <c r="M17" s="199"/>
      <c r="N17" s="200"/>
      <c r="O17" s="201">
        <v>0.02</v>
      </c>
      <c r="P17" s="201"/>
      <c r="Q17" s="202"/>
      <c r="R17" s="203">
        <v>18</v>
      </c>
      <c r="S17" s="204"/>
      <c r="T17" s="235">
        <f t="shared" si="2"/>
        <v>0.36</v>
      </c>
      <c r="U17" s="235"/>
      <c r="V17" s="235"/>
    </row>
    <row r="19" spans="1:31" ht="14.25" x14ac:dyDescent="0.2">
      <c r="S19" s="100" t="s">
        <v>215</v>
      </c>
      <c r="T19" s="233">
        <f>SUM(T12:V17)</f>
        <v>3.9</v>
      </c>
      <c r="U19" s="233"/>
      <c r="V19" s="233"/>
      <c r="W19" s="85"/>
    </row>
    <row r="21" spans="1:31" ht="15" thickBot="1" x14ac:dyDescent="0.25">
      <c r="S21" s="100" t="s">
        <v>216</v>
      </c>
      <c r="T21" s="181">
        <f>T19</f>
        <v>3.9</v>
      </c>
      <c r="U21" s="181"/>
      <c r="V21" s="181"/>
    </row>
    <row r="22" spans="1:31" ht="13.5" thickTop="1" x14ac:dyDescent="0.2"/>
    <row r="23" spans="1:31" ht="14.25" x14ac:dyDescent="0.2">
      <c r="A23" s="79" t="s">
        <v>159</v>
      </c>
      <c r="B23" s="75" t="s">
        <v>173</v>
      </c>
      <c r="C23" s="85"/>
      <c r="D23" s="85"/>
      <c r="E23" s="85"/>
      <c r="F23" s="85"/>
      <c r="Q23" s="90"/>
      <c r="R23" s="131"/>
      <c r="S23" s="131"/>
      <c r="T23" s="86"/>
      <c r="U23" s="85"/>
      <c r="V23" s="85"/>
    </row>
    <row r="24" spans="1:31" ht="15" x14ac:dyDescent="0.25">
      <c r="B24" s="206">
        <f>O26*100</f>
        <v>2</v>
      </c>
      <c r="C24" s="206"/>
      <c r="D24" s="96" t="s">
        <v>161</v>
      </c>
      <c r="E24" s="124" t="str">
        <f>K26</f>
        <v>Parkett</v>
      </c>
      <c r="G24" s="96"/>
      <c r="H24" s="96"/>
      <c r="K24" s="126" t="s">
        <v>162</v>
      </c>
      <c r="L24" s="126"/>
      <c r="M24" s="126"/>
      <c r="N24" s="127"/>
      <c r="O24" s="126"/>
      <c r="P24" s="128" t="s">
        <v>163</v>
      </c>
      <c r="Q24" s="128"/>
      <c r="R24" s="217" t="s">
        <v>164</v>
      </c>
      <c r="S24" s="218"/>
      <c r="T24" s="128"/>
      <c r="U24" s="128" t="s">
        <v>165</v>
      </c>
      <c r="V24" s="126"/>
      <c r="W24" s="85"/>
      <c r="X24" s="85"/>
    </row>
    <row r="25" spans="1:31" ht="15" x14ac:dyDescent="0.25">
      <c r="B25" s="206">
        <f>O27*100</f>
        <v>6</v>
      </c>
      <c r="C25" s="206"/>
      <c r="D25" s="96" t="s">
        <v>161</v>
      </c>
      <c r="E25" s="124" t="str">
        <f>K27</f>
        <v>Zementestrich</v>
      </c>
      <c r="G25" s="96"/>
      <c r="H25" s="96"/>
      <c r="K25" s="81"/>
      <c r="L25" s="81"/>
      <c r="M25" s="81"/>
      <c r="N25" s="129"/>
      <c r="O25" s="81"/>
      <c r="P25" s="130" t="s">
        <v>58</v>
      </c>
      <c r="Q25" s="130"/>
      <c r="R25" s="219" t="s">
        <v>103</v>
      </c>
      <c r="S25" s="220"/>
      <c r="T25" s="130"/>
      <c r="U25" s="130" t="s">
        <v>166</v>
      </c>
      <c r="V25" s="81"/>
      <c r="W25" s="85"/>
      <c r="X25" s="85"/>
      <c r="AE25" s="64" t="s">
        <v>109</v>
      </c>
    </row>
    <row r="26" spans="1:31" ht="15" x14ac:dyDescent="0.25">
      <c r="B26" s="206">
        <f>O28*100</f>
        <v>0</v>
      </c>
      <c r="C26" s="206"/>
      <c r="D26" s="96" t="s">
        <v>161</v>
      </c>
      <c r="E26" s="124" t="str">
        <f>K28</f>
        <v>FE-Folie einlagig</v>
      </c>
      <c r="G26" s="96"/>
      <c r="H26" s="96"/>
      <c r="K26" s="207" t="s">
        <v>167</v>
      </c>
      <c r="L26" s="208"/>
      <c r="M26" s="208"/>
      <c r="N26" s="209"/>
      <c r="O26" s="210">
        <v>0.02</v>
      </c>
      <c r="P26" s="210"/>
      <c r="Q26" s="211"/>
      <c r="R26" s="212">
        <v>6</v>
      </c>
      <c r="S26" s="213"/>
      <c r="T26" s="214">
        <f t="shared" ref="T26:T30" si="3">O26*R26</f>
        <v>0.12</v>
      </c>
      <c r="U26" s="214"/>
      <c r="V26" s="214"/>
      <c r="W26" s="85"/>
      <c r="X26" s="85"/>
    </row>
    <row r="27" spans="1:31" ht="15" x14ac:dyDescent="0.25">
      <c r="B27" s="206">
        <f>O29*100</f>
        <v>4</v>
      </c>
      <c r="C27" s="206"/>
      <c r="D27" s="96" t="s">
        <v>161</v>
      </c>
      <c r="E27" s="124" t="str">
        <f>K29</f>
        <v>TSD</v>
      </c>
      <c r="G27" s="96"/>
      <c r="H27" s="96"/>
      <c r="K27" s="190" t="s">
        <v>168</v>
      </c>
      <c r="L27" s="191"/>
      <c r="M27" s="191"/>
      <c r="N27" s="192"/>
      <c r="O27" s="193">
        <v>0.06</v>
      </c>
      <c r="P27" s="193"/>
      <c r="Q27" s="194"/>
      <c r="R27" s="195">
        <v>22</v>
      </c>
      <c r="S27" s="196"/>
      <c r="T27" s="197">
        <f t="shared" si="3"/>
        <v>1.3199999999999998</v>
      </c>
      <c r="U27" s="197"/>
      <c r="V27" s="197"/>
      <c r="W27" s="85"/>
      <c r="X27" s="85"/>
    </row>
    <row r="28" spans="1:31" ht="15" x14ac:dyDescent="0.25">
      <c r="B28" s="206">
        <f>O30*100</f>
        <v>2</v>
      </c>
      <c r="C28" s="206"/>
      <c r="D28" s="96" t="s">
        <v>161</v>
      </c>
      <c r="E28" s="124" t="str">
        <f>K30</f>
        <v>Holzspannplatte</v>
      </c>
      <c r="G28" s="96"/>
      <c r="H28" s="96"/>
      <c r="K28" s="190" t="s">
        <v>174</v>
      </c>
      <c r="L28" s="191"/>
      <c r="M28" s="191"/>
      <c r="N28" s="192"/>
      <c r="O28" s="193">
        <v>0</v>
      </c>
      <c r="P28" s="193"/>
      <c r="Q28" s="194"/>
      <c r="R28" s="195">
        <v>0</v>
      </c>
      <c r="S28" s="196"/>
      <c r="T28" s="197">
        <f t="shared" si="3"/>
        <v>0</v>
      </c>
      <c r="U28" s="197"/>
      <c r="V28" s="197"/>
      <c r="W28" s="85"/>
      <c r="X28" s="85"/>
    </row>
    <row r="29" spans="1:31" ht="14.25" x14ac:dyDescent="0.2">
      <c r="C29" s="132"/>
      <c r="D29" s="133" t="s">
        <v>175</v>
      </c>
      <c r="E29" s="232">
        <v>18</v>
      </c>
      <c r="F29" s="232"/>
      <c r="G29" s="89" t="s">
        <v>176</v>
      </c>
      <c r="H29" s="232">
        <v>26</v>
      </c>
      <c r="I29" s="232"/>
      <c r="K29" s="190" t="s">
        <v>177</v>
      </c>
      <c r="L29" s="191"/>
      <c r="M29" s="191"/>
      <c r="N29" s="192"/>
      <c r="O29" s="193">
        <v>0.04</v>
      </c>
      <c r="P29" s="193"/>
      <c r="Q29" s="194"/>
      <c r="R29" s="195">
        <v>2</v>
      </c>
      <c r="S29" s="196"/>
      <c r="T29" s="197">
        <f t="shared" si="3"/>
        <v>0.08</v>
      </c>
      <c r="U29" s="197"/>
      <c r="V29" s="197"/>
      <c r="W29" s="85"/>
      <c r="X29" s="85"/>
    </row>
    <row r="30" spans="1:31" ht="15" x14ac:dyDescent="0.25">
      <c r="B30" s="206">
        <f>O32*100</f>
        <v>7.0000000000000009</v>
      </c>
      <c r="C30" s="223"/>
      <c r="D30" s="96" t="s">
        <v>161</v>
      </c>
      <c r="E30" s="124" t="str">
        <f>K32</f>
        <v>Mineralfaserd.</v>
      </c>
      <c r="G30" s="96"/>
      <c r="H30" s="96"/>
      <c r="K30" s="190" t="s">
        <v>178</v>
      </c>
      <c r="L30" s="191"/>
      <c r="M30" s="191"/>
      <c r="N30" s="192"/>
      <c r="O30" s="193">
        <v>0.02</v>
      </c>
      <c r="P30" s="193"/>
      <c r="Q30" s="194"/>
      <c r="R30" s="195">
        <v>6</v>
      </c>
      <c r="S30" s="196"/>
      <c r="T30" s="197">
        <f t="shared" si="3"/>
        <v>0.12</v>
      </c>
      <c r="U30" s="197"/>
      <c r="V30" s="197"/>
      <c r="W30" s="85"/>
      <c r="X30" s="85"/>
    </row>
    <row r="31" spans="1:31" ht="15" x14ac:dyDescent="0.25">
      <c r="B31" s="206">
        <f>O33*100</f>
        <v>2.4</v>
      </c>
      <c r="C31" s="223"/>
      <c r="D31" s="96" t="s">
        <v>161</v>
      </c>
      <c r="E31" s="124" t="str">
        <f>K33</f>
        <v>Schalung</v>
      </c>
      <c r="G31" s="96"/>
      <c r="K31" s="190" t="s">
        <v>214</v>
      </c>
      <c r="L31" s="191"/>
      <c r="M31" s="191"/>
      <c r="N31" s="192"/>
      <c r="O31" s="224">
        <f>E29*H29/B33/100</f>
        <v>7.8E-2</v>
      </c>
      <c r="P31" s="225"/>
      <c r="Q31" s="226"/>
      <c r="R31" s="227">
        <v>6</v>
      </c>
      <c r="S31" s="228"/>
      <c r="T31" s="229">
        <f>O31*R31</f>
        <v>0.46799999999999997</v>
      </c>
      <c r="U31" s="229"/>
      <c r="V31" s="229"/>
      <c r="W31" s="85"/>
      <c r="X31" s="85"/>
    </row>
    <row r="32" spans="1:31" ht="15" x14ac:dyDescent="0.25">
      <c r="B32" s="206">
        <f>O34*100</f>
        <v>3</v>
      </c>
      <c r="C32" s="223"/>
      <c r="D32" s="96" t="s">
        <v>161</v>
      </c>
      <c r="E32" s="124" t="str">
        <f>K34</f>
        <v>GKF 2x</v>
      </c>
      <c r="G32" s="96"/>
      <c r="H32" s="96"/>
      <c r="K32" s="190" t="s">
        <v>179</v>
      </c>
      <c r="L32" s="191"/>
      <c r="M32" s="191"/>
      <c r="N32" s="192"/>
      <c r="O32" s="224">
        <v>7.0000000000000007E-2</v>
      </c>
      <c r="P32" s="225"/>
      <c r="Q32" s="226"/>
      <c r="R32" s="227">
        <v>1.5</v>
      </c>
      <c r="S32" s="228"/>
      <c r="T32" s="229">
        <f>O32*R32</f>
        <v>0.10500000000000001</v>
      </c>
      <c r="U32" s="229"/>
      <c r="V32" s="229"/>
      <c r="W32" s="85"/>
      <c r="X32" s="85"/>
    </row>
    <row r="33" spans="1:23" x14ac:dyDescent="0.2">
      <c r="B33" s="221">
        <v>60</v>
      </c>
      <c r="C33" s="222"/>
      <c r="D33" s="222"/>
      <c r="E33" s="222"/>
      <c r="F33" s="84"/>
      <c r="K33" s="190" t="s">
        <v>171</v>
      </c>
      <c r="L33" s="191"/>
      <c r="M33" s="191"/>
      <c r="N33" s="192"/>
      <c r="O33" s="230">
        <v>2.4E-2</v>
      </c>
      <c r="P33" s="193"/>
      <c r="Q33" s="231"/>
      <c r="R33" s="195">
        <v>6</v>
      </c>
      <c r="S33" s="196"/>
      <c r="T33" s="197">
        <f>O33*R33</f>
        <v>0.14400000000000002</v>
      </c>
      <c r="U33" s="197"/>
      <c r="V33" s="197"/>
    </row>
    <row r="34" spans="1:23" x14ac:dyDescent="0.2">
      <c r="B34" s="222"/>
      <c r="C34" s="222"/>
      <c r="D34" s="222"/>
      <c r="E34" s="222"/>
      <c r="K34" s="198" t="s">
        <v>180</v>
      </c>
      <c r="L34" s="199"/>
      <c r="M34" s="199"/>
      <c r="N34" s="200"/>
      <c r="O34" s="201">
        <v>0.03</v>
      </c>
      <c r="P34" s="201"/>
      <c r="Q34" s="202"/>
      <c r="R34" s="203">
        <v>11</v>
      </c>
      <c r="S34" s="204"/>
      <c r="T34" s="205">
        <f>O34*R34</f>
        <v>0.32999999999999996</v>
      </c>
      <c r="U34" s="205"/>
      <c r="V34" s="205"/>
    </row>
    <row r="35" spans="1:23" ht="14.25" x14ac:dyDescent="0.2">
      <c r="W35" s="85"/>
    </row>
    <row r="36" spans="1:23" ht="14.25" x14ac:dyDescent="0.2">
      <c r="S36" s="100" t="s">
        <v>215</v>
      </c>
      <c r="T36" s="183">
        <f>SUM(T26:V34)</f>
        <v>2.6870000000000003</v>
      </c>
      <c r="U36" s="183"/>
      <c r="V36" s="183"/>
      <c r="W36" s="85"/>
    </row>
    <row r="38" spans="1:23" ht="15" thickBot="1" x14ac:dyDescent="0.25">
      <c r="N38" s="77"/>
      <c r="S38" s="100" t="str">
        <f>"x Einflussbreite e = "&amp;B33/100&amp;"m = gk [kN/m]"</f>
        <v>x Einflussbreite e = 0,6m = gk [kN/m]</v>
      </c>
      <c r="T38" s="180">
        <f>T36*B33/100</f>
        <v>1.6122000000000003</v>
      </c>
      <c r="U38" s="181"/>
      <c r="V38" s="181"/>
      <c r="W38" s="85"/>
    </row>
    <row r="39" spans="1:23" ht="13.5" thickTop="1" x14ac:dyDescent="0.2"/>
    <row r="40" spans="1:23" ht="14.25" x14ac:dyDescent="0.2">
      <c r="R40" s="158"/>
      <c r="S40" s="159"/>
      <c r="T40" s="215"/>
      <c r="U40" s="216"/>
      <c r="V40" s="216"/>
      <c r="W40" s="85"/>
    </row>
    <row r="42" spans="1:23" x14ac:dyDescent="0.2">
      <c r="A42" s="79" t="s">
        <v>159</v>
      </c>
      <c r="B42" s="75" t="s">
        <v>181</v>
      </c>
    </row>
    <row r="43" spans="1:23" ht="13.5" x14ac:dyDescent="0.25">
      <c r="B43" s="206">
        <f t="shared" ref="B43:B48" si="4">O45*100</f>
        <v>2</v>
      </c>
      <c r="C43" s="206"/>
      <c r="D43" s="96" t="s">
        <v>161</v>
      </c>
      <c r="E43" s="124" t="str">
        <f t="shared" ref="E43:E48" si="5">K45</f>
        <v>Linoleum</v>
      </c>
      <c r="K43" s="126" t="s">
        <v>162</v>
      </c>
      <c r="L43" s="126"/>
      <c r="M43" s="126"/>
      <c r="N43" s="127"/>
      <c r="O43" s="126"/>
      <c r="P43" s="128" t="s">
        <v>163</v>
      </c>
      <c r="Q43" s="128"/>
      <c r="R43" s="217" t="s">
        <v>164</v>
      </c>
      <c r="S43" s="218"/>
      <c r="T43" s="128"/>
      <c r="U43" s="128" t="s">
        <v>165</v>
      </c>
      <c r="V43" s="126"/>
    </row>
    <row r="44" spans="1:23" ht="13.5" x14ac:dyDescent="0.25">
      <c r="B44" s="206">
        <f t="shared" si="4"/>
        <v>5</v>
      </c>
      <c r="C44" s="206"/>
      <c r="D44" s="96" t="s">
        <v>161</v>
      </c>
      <c r="E44" s="124" t="str">
        <f t="shared" si="5"/>
        <v>Zementestrich</v>
      </c>
      <c r="K44" s="81"/>
      <c r="L44" s="81"/>
      <c r="M44" s="81"/>
      <c r="N44" s="129"/>
      <c r="O44" s="81"/>
      <c r="P44" s="130" t="s">
        <v>58</v>
      </c>
      <c r="Q44" s="130"/>
      <c r="R44" s="219" t="s">
        <v>103</v>
      </c>
      <c r="S44" s="220"/>
      <c r="T44" s="130"/>
      <c r="U44" s="130" t="s">
        <v>166</v>
      </c>
      <c r="V44" s="81"/>
    </row>
    <row r="45" spans="1:23" ht="13.5" x14ac:dyDescent="0.25">
      <c r="B45" s="206">
        <f t="shared" si="4"/>
        <v>0</v>
      </c>
      <c r="C45" s="206"/>
      <c r="D45" s="96" t="s">
        <v>161</v>
      </c>
      <c r="E45" s="124" t="str">
        <f t="shared" si="5"/>
        <v>Folie</v>
      </c>
      <c r="K45" s="207" t="s">
        <v>182</v>
      </c>
      <c r="L45" s="208"/>
      <c r="M45" s="208"/>
      <c r="N45" s="209"/>
      <c r="O45" s="210">
        <v>0.02</v>
      </c>
      <c r="P45" s="210"/>
      <c r="Q45" s="211"/>
      <c r="R45" s="212">
        <v>13</v>
      </c>
      <c r="S45" s="213"/>
      <c r="T45" s="214">
        <f t="shared" ref="T45:T50" si="6">O45*R45</f>
        <v>0.26</v>
      </c>
      <c r="U45" s="214"/>
      <c r="V45" s="214"/>
    </row>
    <row r="46" spans="1:23" ht="13.5" x14ac:dyDescent="0.25">
      <c r="B46" s="206">
        <f t="shared" si="4"/>
        <v>6</v>
      </c>
      <c r="C46" s="206"/>
      <c r="D46" s="96" t="s">
        <v>161</v>
      </c>
      <c r="E46" s="124" t="str">
        <f t="shared" si="5"/>
        <v>TSD</v>
      </c>
      <c r="K46" s="190" t="s">
        <v>168</v>
      </c>
      <c r="L46" s="191"/>
      <c r="M46" s="191"/>
      <c r="N46" s="192"/>
      <c r="O46" s="193">
        <v>0.05</v>
      </c>
      <c r="P46" s="193"/>
      <c r="Q46" s="194"/>
      <c r="R46" s="195">
        <v>22</v>
      </c>
      <c r="S46" s="196"/>
      <c r="T46" s="197">
        <f t="shared" si="6"/>
        <v>1.1000000000000001</v>
      </c>
      <c r="U46" s="197"/>
      <c r="V46" s="197"/>
    </row>
    <row r="47" spans="1:23" ht="13.5" x14ac:dyDescent="0.25">
      <c r="B47" s="206">
        <f t="shared" si="4"/>
        <v>0</v>
      </c>
      <c r="C47" s="206"/>
      <c r="D47" s="96" t="s">
        <v>161</v>
      </c>
      <c r="E47" s="124" t="str">
        <f t="shared" si="5"/>
        <v>Folie</v>
      </c>
      <c r="K47" s="190" t="s">
        <v>183</v>
      </c>
      <c r="L47" s="191"/>
      <c r="M47" s="191"/>
      <c r="N47" s="192"/>
      <c r="O47" s="193">
        <v>0</v>
      </c>
      <c r="P47" s="193"/>
      <c r="Q47" s="194"/>
      <c r="R47" s="195">
        <v>14</v>
      </c>
      <c r="S47" s="196"/>
      <c r="T47" s="197">
        <f t="shared" si="6"/>
        <v>0</v>
      </c>
      <c r="U47" s="197"/>
      <c r="V47" s="197"/>
    </row>
    <row r="48" spans="1:23" ht="13.5" x14ac:dyDescent="0.25">
      <c r="B48" s="206">
        <f t="shared" si="4"/>
        <v>18</v>
      </c>
      <c r="C48" s="206"/>
      <c r="D48" s="96" t="s">
        <v>161</v>
      </c>
      <c r="E48" s="124" t="str">
        <f t="shared" si="5"/>
        <v>STB-Decke</v>
      </c>
      <c r="K48" s="190" t="s">
        <v>177</v>
      </c>
      <c r="L48" s="191"/>
      <c r="M48" s="191"/>
      <c r="N48" s="192"/>
      <c r="O48" s="193">
        <v>0.06</v>
      </c>
      <c r="P48" s="193"/>
      <c r="Q48" s="194"/>
      <c r="R48" s="195">
        <v>1</v>
      </c>
      <c r="S48" s="196"/>
      <c r="T48" s="197">
        <f t="shared" si="6"/>
        <v>0.06</v>
      </c>
      <c r="U48" s="197"/>
      <c r="V48" s="197"/>
    </row>
    <row r="49" spans="1:23" x14ac:dyDescent="0.2">
      <c r="A49" s="78"/>
      <c r="B49" s="75"/>
      <c r="K49" s="190" t="s">
        <v>183</v>
      </c>
      <c r="L49" s="191"/>
      <c r="M49" s="191"/>
      <c r="N49" s="192"/>
      <c r="O49" s="193">
        <v>0</v>
      </c>
      <c r="P49" s="193"/>
      <c r="Q49" s="194"/>
      <c r="R49" s="195">
        <v>14</v>
      </c>
      <c r="S49" s="196"/>
      <c r="T49" s="197">
        <f t="shared" si="6"/>
        <v>0</v>
      </c>
      <c r="U49" s="197"/>
      <c r="V49" s="197"/>
    </row>
    <row r="50" spans="1:23" x14ac:dyDescent="0.2">
      <c r="A50" s="78"/>
      <c r="B50" s="75"/>
      <c r="K50" s="198" t="s">
        <v>184</v>
      </c>
      <c r="L50" s="199"/>
      <c r="M50" s="199"/>
      <c r="N50" s="200"/>
      <c r="O50" s="201">
        <v>0.18</v>
      </c>
      <c r="P50" s="201"/>
      <c r="Q50" s="202"/>
      <c r="R50" s="203">
        <v>25</v>
      </c>
      <c r="S50" s="204"/>
      <c r="T50" s="205">
        <f t="shared" si="6"/>
        <v>4.5</v>
      </c>
      <c r="U50" s="205"/>
      <c r="V50" s="205"/>
    </row>
    <row r="51" spans="1:23" x14ac:dyDescent="0.2">
      <c r="A51" s="78"/>
      <c r="B51" s="75"/>
    </row>
    <row r="52" spans="1:23" ht="14.25" x14ac:dyDescent="0.2">
      <c r="A52" s="78"/>
      <c r="B52" s="75"/>
      <c r="S52" s="100" t="s">
        <v>215</v>
      </c>
      <c r="T52" s="183">
        <f>SUM(T45:V50)</f>
        <v>5.92</v>
      </c>
      <c r="U52" s="183"/>
      <c r="V52" s="183"/>
      <c r="W52" s="85"/>
    </row>
    <row r="53" spans="1:23" x14ac:dyDescent="0.2">
      <c r="A53" s="78"/>
      <c r="B53" s="75"/>
    </row>
    <row r="54" spans="1:23" ht="15" thickBot="1" x14ac:dyDescent="0.25">
      <c r="A54" s="78"/>
      <c r="B54" s="75"/>
      <c r="S54" s="100" t="s">
        <v>216</v>
      </c>
      <c r="T54" s="180">
        <f>T52</f>
        <v>5.92</v>
      </c>
      <c r="U54" s="180"/>
      <c r="V54" s="180"/>
    </row>
    <row r="55" spans="1:23" ht="13.5" thickTop="1" x14ac:dyDescent="0.2">
      <c r="A55" s="78"/>
      <c r="B55" s="75"/>
    </row>
    <row r="56" spans="1:23" x14ac:dyDescent="0.2">
      <c r="A56" s="78"/>
      <c r="B56" s="75"/>
    </row>
    <row r="57" spans="1:23" x14ac:dyDescent="0.2">
      <c r="A57" s="78"/>
      <c r="B57" s="75"/>
    </row>
    <row r="58" spans="1:23" x14ac:dyDescent="0.2">
      <c r="A58" s="78"/>
      <c r="B58" s="75"/>
    </row>
    <row r="59" spans="1:23" ht="13.5" x14ac:dyDescent="0.25">
      <c r="A59" s="92" t="s">
        <v>101</v>
      </c>
      <c r="L59" s="82"/>
    </row>
    <row r="60" spans="1:23" ht="13.5" x14ac:dyDescent="0.25">
      <c r="A60" s="92" t="s">
        <v>63</v>
      </c>
      <c r="L60" s="82"/>
    </row>
    <row r="61" spans="1:23" ht="13.5" x14ac:dyDescent="0.25">
      <c r="A61" s="92" t="s">
        <v>64</v>
      </c>
      <c r="B61" s="76"/>
      <c r="C61" s="76"/>
      <c r="M61" s="76"/>
      <c r="N61" s="76"/>
    </row>
    <row r="62" spans="1:23" ht="13.5" x14ac:dyDescent="0.25">
      <c r="A62" s="92" t="s">
        <v>65</v>
      </c>
      <c r="D62" s="101"/>
      <c r="E62" s="101"/>
      <c r="O62" s="101"/>
      <c r="P62" s="101"/>
    </row>
    <row r="63" spans="1:23" ht="13.5" x14ac:dyDescent="0.25">
      <c r="A63" s="92"/>
    </row>
    <row r="64" spans="1:23" ht="13.5" x14ac:dyDescent="0.25">
      <c r="A64" s="92" t="s">
        <v>66</v>
      </c>
      <c r="I64" s="102"/>
      <c r="J64" s="102"/>
    </row>
    <row r="65" spans="1:16" ht="13.5" x14ac:dyDescent="0.25">
      <c r="A65" s="92" t="s">
        <v>67</v>
      </c>
    </row>
    <row r="66" spans="1:16" ht="13.5" x14ac:dyDescent="0.25">
      <c r="A66" s="92"/>
      <c r="H66" s="76"/>
      <c r="I66" s="76"/>
    </row>
    <row r="67" spans="1:16" ht="13.5" x14ac:dyDescent="0.25">
      <c r="A67" s="92" t="s">
        <v>102</v>
      </c>
    </row>
    <row r="68" spans="1:16" ht="16.5" x14ac:dyDescent="0.2">
      <c r="B68" s="82"/>
      <c r="C68" s="82"/>
      <c r="D68" s="82"/>
      <c r="E68" s="82"/>
      <c r="F68" s="82"/>
      <c r="G68" s="82"/>
      <c r="H68" s="82"/>
      <c r="I68" s="82"/>
      <c r="J68" s="103" t="s">
        <v>68</v>
      </c>
      <c r="K68" s="82"/>
      <c r="L68" s="82"/>
      <c r="M68" s="82"/>
      <c r="N68" s="82"/>
      <c r="O68" s="82"/>
      <c r="P68" s="82"/>
    </row>
  </sheetData>
  <sheetProtection algorithmName="SHA-512" hashValue="eROicvr1kZciLX59mxEP+EyqnmAgdhfy19MoOEDz//dSg9TsMQW0EviyXC4F0Mew7VqXmv6W36OQ5kO782PzWQ==" saltValue="KcW7JCvQwhvigwl02pSSFg==" spinCount="100000" sheet="1" objects="1" scenarios="1" selectLockedCells="1"/>
  <mergeCells count="120">
    <mergeCell ref="T12:V12"/>
    <mergeCell ref="B13:C13"/>
    <mergeCell ref="K13:N13"/>
    <mergeCell ref="O13:Q13"/>
    <mergeCell ref="R13:S13"/>
    <mergeCell ref="T13:V13"/>
    <mergeCell ref="B10:C10"/>
    <mergeCell ref="R10:S10"/>
    <mergeCell ref="B11:C11"/>
    <mergeCell ref="R11:S11"/>
    <mergeCell ref="B12:C12"/>
    <mergeCell ref="K12:N12"/>
    <mergeCell ref="O12:Q12"/>
    <mergeCell ref="R12:S12"/>
    <mergeCell ref="B14:C14"/>
    <mergeCell ref="K14:N14"/>
    <mergeCell ref="O14:Q14"/>
    <mergeCell ref="R14:S14"/>
    <mergeCell ref="T14:V14"/>
    <mergeCell ref="B15:C15"/>
    <mergeCell ref="K15:N15"/>
    <mergeCell ref="O15:Q15"/>
    <mergeCell ref="R15:S15"/>
    <mergeCell ref="T15:V15"/>
    <mergeCell ref="T19:V19"/>
    <mergeCell ref="T21:V21"/>
    <mergeCell ref="B24:C24"/>
    <mergeCell ref="R24:S24"/>
    <mergeCell ref="B25:C25"/>
    <mergeCell ref="R25:S25"/>
    <mergeCell ref="K16:N16"/>
    <mergeCell ref="O16:Q16"/>
    <mergeCell ref="R16:S16"/>
    <mergeCell ref="T16:V16"/>
    <mergeCell ref="K17:N17"/>
    <mergeCell ref="O17:Q17"/>
    <mergeCell ref="R17:S17"/>
    <mergeCell ref="T17:V17"/>
    <mergeCell ref="B26:C26"/>
    <mergeCell ref="K26:N26"/>
    <mergeCell ref="O26:Q26"/>
    <mergeCell ref="R26:S26"/>
    <mergeCell ref="T26:V26"/>
    <mergeCell ref="B27:C27"/>
    <mergeCell ref="K27:N27"/>
    <mergeCell ref="O27:Q27"/>
    <mergeCell ref="R27:S27"/>
    <mergeCell ref="T27:V27"/>
    <mergeCell ref="T29:V29"/>
    <mergeCell ref="B30:C30"/>
    <mergeCell ref="K30:N30"/>
    <mergeCell ref="O30:Q30"/>
    <mergeCell ref="R30:S30"/>
    <mergeCell ref="T30:V30"/>
    <mergeCell ref="B28:C28"/>
    <mergeCell ref="K28:N28"/>
    <mergeCell ref="O28:Q28"/>
    <mergeCell ref="R28:S28"/>
    <mergeCell ref="T28:V28"/>
    <mergeCell ref="E29:F29"/>
    <mergeCell ref="H29:I29"/>
    <mergeCell ref="K29:N29"/>
    <mergeCell ref="O29:Q29"/>
    <mergeCell ref="R29:S29"/>
    <mergeCell ref="B31:C31"/>
    <mergeCell ref="K32:N32"/>
    <mergeCell ref="O32:Q32"/>
    <mergeCell ref="R32:S32"/>
    <mergeCell ref="T32:V32"/>
    <mergeCell ref="B32:C32"/>
    <mergeCell ref="K33:N33"/>
    <mergeCell ref="O33:Q33"/>
    <mergeCell ref="R33:S33"/>
    <mergeCell ref="T33:V33"/>
    <mergeCell ref="K31:N31"/>
    <mergeCell ref="O31:Q31"/>
    <mergeCell ref="R31:S31"/>
    <mergeCell ref="T31:V31"/>
    <mergeCell ref="T40:V40"/>
    <mergeCell ref="B43:C43"/>
    <mergeCell ref="R43:S43"/>
    <mergeCell ref="B44:C44"/>
    <mergeCell ref="R44:S44"/>
    <mergeCell ref="B33:E34"/>
    <mergeCell ref="K34:N34"/>
    <mergeCell ref="O34:Q34"/>
    <mergeCell ref="R34:S34"/>
    <mergeCell ref="T34:V34"/>
    <mergeCell ref="T36:V36"/>
    <mergeCell ref="T38:V38"/>
    <mergeCell ref="B45:C45"/>
    <mergeCell ref="K45:N45"/>
    <mergeCell ref="O45:Q45"/>
    <mergeCell ref="R45:S45"/>
    <mergeCell ref="T45:V45"/>
    <mergeCell ref="B46:C46"/>
    <mergeCell ref="K46:N46"/>
    <mergeCell ref="O46:Q46"/>
    <mergeCell ref="R46:S46"/>
    <mergeCell ref="T46:V46"/>
    <mergeCell ref="B47:C47"/>
    <mergeCell ref="K47:N47"/>
    <mergeCell ref="O47:Q47"/>
    <mergeCell ref="R47:S47"/>
    <mergeCell ref="T47:V47"/>
    <mergeCell ref="B48:C48"/>
    <mergeCell ref="K48:N48"/>
    <mergeCell ref="O48:Q48"/>
    <mergeCell ref="R48:S48"/>
    <mergeCell ref="T48:V48"/>
    <mergeCell ref="T52:V52"/>
    <mergeCell ref="T54:V54"/>
    <mergeCell ref="K49:N49"/>
    <mergeCell ref="O49:Q49"/>
    <mergeCell ref="R49:S49"/>
    <mergeCell ref="T49:V49"/>
    <mergeCell ref="K50:N50"/>
    <mergeCell ref="O50:Q50"/>
    <mergeCell ref="R50:S50"/>
    <mergeCell ref="T50:V50"/>
  </mergeCells>
  <hyperlinks>
    <hyperlink ref="J68" r:id="rId1" xr:uid="{B1060B6E-3355-43F7-AFF0-8362A8252B2A}"/>
  </hyperlinks>
  <printOptions horizontalCentered="1"/>
  <pageMargins left="0.59055118110236227" right="0.59055118110236227" top="0.39370078740157483" bottom="0.78740157480314965" header="0.51181102362204722" footer="0.51181102362204722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822E2-09B4-4D91-8F7D-6CD909B15E83}">
  <dimension ref="A1:V57"/>
  <sheetViews>
    <sheetView showGridLines="0" view="pageBreakPreview" zoomScaleNormal="100" zoomScaleSheetLayoutView="100" workbookViewId="0">
      <selection activeCell="L11" sqref="L11:M11"/>
    </sheetView>
  </sheetViews>
  <sheetFormatPr baseColWidth="10" defaultRowHeight="12.75" x14ac:dyDescent="0.2"/>
  <cols>
    <col min="1" max="26" width="3.7109375" style="64" customWidth="1"/>
    <col min="27" max="256" width="11.42578125" style="64"/>
    <col min="257" max="282" width="3.7109375" style="64" customWidth="1"/>
    <col min="283" max="512" width="11.42578125" style="64"/>
    <col min="513" max="538" width="3.7109375" style="64" customWidth="1"/>
    <col min="539" max="768" width="11.42578125" style="64"/>
    <col min="769" max="794" width="3.7109375" style="64" customWidth="1"/>
    <col min="795" max="1024" width="11.42578125" style="64"/>
    <col min="1025" max="1050" width="3.7109375" style="64" customWidth="1"/>
    <col min="1051" max="1280" width="11.42578125" style="64"/>
    <col min="1281" max="1306" width="3.7109375" style="64" customWidth="1"/>
    <col min="1307" max="1536" width="11.42578125" style="64"/>
    <col min="1537" max="1562" width="3.7109375" style="64" customWidth="1"/>
    <col min="1563" max="1792" width="11.42578125" style="64"/>
    <col min="1793" max="1818" width="3.7109375" style="64" customWidth="1"/>
    <col min="1819" max="2048" width="11.42578125" style="64"/>
    <col min="2049" max="2074" width="3.7109375" style="64" customWidth="1"/>
    <col min="2075" max="2304" width="11.42578125" style="64"/>
    <col min="2305" max="2330" width="3.7109375" style="64" customWidth="1"/>
    <col min="2331" max="2560" width="11.42578125" style="64"/>
    <col min="2561" max="2586" width="3.7109375" style="64" customWidth="1"/>
    <col min="2587" max="2816" width="11.42578125" style="64"/>
    <col min="2817" max="2842" width="3.7109375" style="64" customWidth="1"/>
    <col min="2843" max="3072" width="11.42578125" style="64"/>
    <col min="3073" max="3098" width="3.7109375" style="64" customWidth="1"/>
    <col min="3099" max="3328" width="11.42578125" style="64"/>
    <col min="3329" max="3354" width="3.7109375" style="64" customWidth="1"/>
    <col min="3355" max="3584" width="11.42578125" style="64"/>
    <col min="3585" max="3610" width="3.7109375" style="64" customWidth="1"/>
    <col min="3611" max="3840" width="11.42578125" style="64"/>
    <col min="3841" max="3866" width="3.7109375" style="64" customWidth="1"/>
    <col min="3867" max="4096" width="11.42578125" style="64"/>
    <col min="4097" max="4122" width="3.7109375" style="64" customWidth="1"/>
    <col min="4123" max="4352" width="11.42578125" style="64"/>
    <col min="4353" max="4378" width="3.7109375" style="64" customWidth="1"/>
    <col min="4379" max="4608" width="11.42578125" style="64"/>
    <col min="4609" max="4634" width="3.7109375" style="64" customWidth="1"/>
    <col min="4635" max="4864" width="11.42578125" style="64"/>
    <col min="4865" max="4890" width="3.7109375" style="64" customWidth="1"/>
    <col min="4891" max="5120" width="11.42578125" style="64"/>
    <col min="5121" max="5146" width="3.7109375" style="64" customWidth="1"/>
    <col min="5147" max="5376" width="11.42578125" style="64"/>
    <col min="5377" max="5402" width="3.7109375" style="64" customWidth="1"/>
    <col min="5403" max="5632" width="11.42578125" style="64"/>
    <col min="5633" max="5658" width="3.7109375" style="64" customWidth="1"/>
    <col min="5659" max="5888" width="11.42578125" style="64"/>
    <col min="5889" max="5914" width="3.7109375" style="64" customWidth="1"/>
    <col min="5915" max="6144" width="11.42578125" style="64"/>
    <col min="6145" max="6170" width="3.7109375" style="64" customWidth="1"/>
    <col min="6171" max="6400" width="11.42578125" style="64"/>
    <col min="6401" max="6426" width="3.7109375" style="64" customWidth="1"/>
    <col min="6427" max="6656" width="11.42578125" style="64"/>
    <col min="6657" max="6682" width="3.7109375" style="64" customWidth="1"/>
    <col min="6683" max="6912" width="11.42578125" style="64"/>
    <col min="6913" max="6938" width="3.7109375" style="64" customWidth="1"/>
    <col min="6939" max="7168" width="11.42578125" style="64"/>
    <col min="7169" max="7194" width="3.7109375" style="64" customWidth="1"/>
    <col min="7195" max="7424" width="11.42578125" style="64"/>
    <col min="7425" max="7450" width="3.7109375" style="64" customWidth="1"/>
    <col min="7451" max="7680" width="11.42578125" style="64"/>
    <col min="7681" max="7706" width="3.7109375" style="64" customWidth="1"/>
    <col min="7707" max="7936" width="11.42578125" style="64"/>
    <col min="7937" max="7962" width="3.7109375" style="64" customWidth="1"/>
    <col min="7963" max="8192" width="11.42578125" style="64"/>
    <col min="8193" max="8218" width="3.7109375" style="64" customWidth="1"/>
    <col min="8219" max="8448" width="11.42578125" style="64"/>
    <col min="8449" max="8474" width="3.7109375" style="64" customWidth="1"/>
    <col min="8475" max="8704" width="11.42578125" style="64"/>
    <col min="8705" max="8730" width="3.7109375" style="64" customWidth="1"/>
    <col min="8731" max="8960" width="11.42578125" style="64"/>
    <col min="8961" max="8986" width="3.7109375" style="64" customWidth="1"/>
    <col min="8987" max="9216" width="11.42578125" style="64"/>
    <col min="9217" max="9242" width="3.7109375" style="64" customWidth="1"/>
    <col min="9243" max="9472" width="11.42578125" style="64"/>
    <col min="9473" max="9498" width="3.7109375" style="64" customWidth="1"/>
    <col min="9499" max="9728" width="11.42578125" style="64"/>
    <col min="9729" max="9754" width="3.7109375" style="64" customWidth="1"/>
    <col min="9755" max="9984" width="11.42578125" style="64"/>
    <col min="9985" max="10010" width="3.7109375" style="64" customWidth="1"/>
    <col min="10011" max="10240" width="11.42578125" style="64"/>
    <col min="10241" max="10266" width="3.7109375" style="64" customWidth="1"/>
    <col min="10267" max="10496" width="11.42578125" style="64"/>
    <col min="10497" max="10522" width="3.7109375" style="64" customWidth="1"/>
    <col min="10523" max="10752" width="11.42578125" style="64"/>
    <col min="10753" max="10778" width="3.7109375" style="64" customWidth="1"/>
    <col min="10779" max="11008" width="11.42578125" style="64"/>
    <col min="11009" max="11034" width="3.7109375" style="64" customWidth="1"/>
    <col min="11035" max="11264" width="11.42578125" style="64"/>
    <col min="11265" max="11290" width="3.7109375" style="64" customWidth="1"/>
    <col min="11291" max="11520" width="11.42578125" style="64"/>
    <col min="11521" max="11546" width="3.7109375" style="64" customWidth="1"/>
    <col min="11547" max="11776" width="11.42578125" style="64"/>
    <col min="11777" max="11802" width="3.7109375" style="64" customWidth="1"/>
    <col min="11803" max="12032" width="11.42578125" style="64"/>
    <col min="12033" max="12058" width="3.7109375" style="64" customWidth="1"/>
    <col min="12059" max="12288" width="11.42578125" style="64"/>
    <col min="12289" max="12314" width="3.7109375" style="64" customWidth="1"/>
    <col min="12315" max="12544" width="11.42578125" style="64"/>
    <col min="12545" max="12570" width="3.7109375" style="64" customWidth="1"/>
    <col min="12571" max="12800" width="11.42578125" style="64"/>
    <col min="12801" max="12826" width="3.7109375" style="64" customWidth="1"/>
    <col min="12827" max="13056" width="11.42578125" style="64"/>
    <col min="13057" max="13082" width="3.7109375" style="64" customWidth="1"/>
    <col min="13083" max="13312" width="11.42578125" style="64"/>
    <col min="13313" max="13338" width="3.7109375" style="64" customWidth="1"/>
    <col min="13339" max="13568" width="11.42578125" style="64"/>
    <col min="13569" max="13594" width="3.7109375" style="64" customWidth="1"/>
    <col min="13595" max="13824" width="11.42578125" style="64"/>
    <col min="13825" max="13850" width="3.7109375" style="64" customWidth="1"/>
    <col min="13851" max="14080" width="11.42578125" style="64"/>
    <col min="14081" max="14106" width="3.7109375" style="64" customWidth="1"/>
    <col min="14107" max="14336" width="11.42578125" style="64"/>
    <col min="14337" max="14362" width="3.7109375" style="64" customWidth="1"/>
    <col min="14363" max="14592" width="11.42578125" style="64"/>
    <col min="14593" max="14618" width="3.7109375" style="64" customWidth="1"/>
    <col min="14619" max="14848" width="11.42578125" style="64"/>
    <col min="14849" max="14874" width="3.7109375" style="64" customWidth="1"/>
    <col min="14875" max="15104" width="11.42578125" style="64"/>
    <col min="15105" max="15130" width="3.7109375" style="64" customWidth="1"/>
    <col min="15131" max="15360" width="11.42578125" style="64"/>
    <col min="15361" max="15386" width="3.7109375" style="64" customWidth="1"/>
    <col min="15387" max="15616" width="11.42578125" style="64"/>
    <col min="15617" max="15642" width="3.7109375" style="64" customWidth="1"/>
    <col min="15643" max="15872" width="11.42578125" style="64"/>
    <col min="15873" max="15898" width="3.7109375" style="64" customWidth="1"/>
    <col min="15899" max="16128" width="11.42578125" style="64"/>
    <col min="16129" max="16154" width="3.7109375" style="64" customWidth="1"/>
    <col min="16155" max="16384" width="11.42578125" style="64"/>
  </cols>
  <sheetData>
    <row r="1" spans="1:22" x14ac:dyDescent="0.2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22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P2" s="65" t="s">
        <v>93</v>
      </c>
      <c r="Q2" s="66" t="str">
        <f>INFOBOX!B2</f>
        <v>D E M O V E R S I O N</v>
      </c>
    </row>
    <row r="3" spans="1:22" x14ac:dyDescent="0.2">
      <c r="A3" s="63"/>
      <c r="B3" s="63"/>
      <c r="D3" s="64" t="s">
        <v>94</v>
      </c>
      <c r="E3" s="63"/>
      <c r="F3" s="63"/>
      <c r="G3" s="63"/>
      <c r="H3" s="63"/>
      <c r="I3" s="63"/>
      <c r="J3" s="63"/>
      <c r="P3" s="67"/>
      <c r="Q3" s="66" t="str">
        <f>INFOBOX!B3</f>
        <v>eingeschränkte Funktionalität</v>
      </c>
      <c r="R3" s="66"/>
      <c r="S3" s="66"/>
      <c r="T3" s="66"/>
      <c r="U3" s="66"/>
      <c r="V3" s="66"/>
    </row>
    <row r="4" spans="1:22" ht="12.75" customHeight="1" x14ac:dyDescent="0.2">
      <c r="A4" s="68"/>
      <c r="D4" s="64" t="s">
        <v>95</v>
      </c>
      <c r="K4" s="69"/>
      <c r="L4" s="69"/>
      <c r="M4" s="69"/>
      <c r="N4" s="69"/>
      <c r="O4" s="69"/>
      <c r="P4" s="70"/>
      <c r="Q4" s="66" t="str">
        <f>INFOBOX!B4</f>
        <v>office@statikklasse.at</v>
      </c>
      <c r="R4" s="71"/>
      <c r="S4" s="66"/>
      <c r="T4" s="66"/>
      <c r="U4" s="66"/>
      <c r="V4" s="66"/>
    </row>
    <row r="5" spans="1:22" ht="12.75" customHeight="1" x14ac:dyDescent="0.2">
      <c r="K5" s="82"/>
      <c r="L5" s="82"/>
      <c r="M5" s="82"/>
      <c r="N5" s="82"/>
      <c r="O5" s="82"/>
      <c r="P5" s="82"/>
      <c r="Q5" s="82"/>
      <c r="R5" s="82"/>
    </row>
    <row r="6" spans="1:22" x14ac:dyDescent="0.2">
      <c r="A6" s="72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</row>
    <row r="8" spans="1:22" x14ac:dyDescent="0.2">
      <c r="A8" s="266" t="s">
        <v>96</v>
      </c>
      <c r="B8" s="267"/>
      <c r="C8" s="64" t="s">
        <v>185</v>
      </c>
    </row>
    <row r="9" spans="1:22" x14ac:dyDescent="0.2">
      <c r="A9" s="186"/>
      <c r="B9" s="223"/>
    </row>
    <row r="11" spans="1:22" ht="12.75" customHeight="1" x14ac:dyDescent="0.2">
      <c r="F11" s="264">
        <v>70</v>
      </c>
      <c r="G11" s="264"/>
      <c r="H11" s="264"/>
      <c r="I11" s="264"/>
      <c r="J11" s="264"/>
      <c r="K11" s="264"/>
      <c r="L11" s="264">
        <v>50</v>
      </c>
      <c r="M11" s="264"/>
    </row>
    <row r="12" spans="1:22" ht="12.75" customHeight="1" x14ac:dyDescent="0.2">
      <c r="D12" s="134" t="s">
        <v>97</v>
      </c>
    </row>
    <row r="13" spans="1:22" ht="12.75" customHeight="1" x14ac:dyDescent="0.2">
      <c r="D13" s="258">
        <v>15</v>
      </c>
      <c r="H13" s="187" t="s">
        <v>186</v>
      </c>
      <c r="I13" s="187"/>
      <c r="O13" s="263">
        <f>D13+D15</f>
        <v>65</v>
      </c>
    </row>
    <row r="14" spans="1:22" x14ac:dyDescent="0.2">
      <c r="D14" s="258"/>
      <c r="H14" s="187"/>
      <c r="I14" s="187"/>
      <c r="O14" s="263"/>
    </row>
    <row r="15" spans="1:22" ht="12.75" customHeight="1" x14ac:dyDescent="0.2">
      <c r="D15" s="258">
        <v>50</v>
      </c>
      <c r="F15" s="264">
        <v>62</v>
      </c>
      <c r="G15" s="264"/>
      <c r="H15" s="264"/>
      <c r="I15" s="264"/>
      <c r="J15" s="264"/>
      <c r="O15" s="263"/>
    </row>
    <row r="16" spans="1:22" ht="12.75" customHeight="1" x14ac:dyDescent="0.2">
      <c r="D16" s="258"/>
      <c r="J16" s="240"/>
      <c r="K16" s="187" t="s">
        <v>187</v>
      </c>
      <c r="O16" s="263"/>
    </row>
    <row r="17" spans="1:21" x14ac:dyDescent="0.2">
      <c r="D17" s="258"/>
      <c r="J17" s="240"/>
      <c r="K17" s="187"/>
      <c r="L17" s="265" t="s">
        <v>188</v>
      </c>
      <c r="O17" s="263"/>
    </row>
    <row r="18" spans="1:21" x14ac:dyDescent="0.2">
      <c r="D18" s="258"/>
      <c r="I18" s="64">
        <f>36</f>
        <v>36</v>
      </c>
      <c r="K18" s="187"/>
      <c r="L18" s="265"/>
      <c r="O18" s="263"/>
    </row>
    <row r="19" spans="1:21" x14ac:dyDescent="0.2">
      <c r="D19" s="258">
        <v>15</v>
      </c>
      <c r="O19" s="259">
        <f>D19</f>
        <v>15</v>
      </c>
    </row>
    <row r="20" spans="1:21" x14ac:dyDescent="0.2">
      <c r="D20" s="258"/>
      <c r="J20" s="187" t="s">
        <v>189</v>
      </c>
      <c r="K20" s="187"/>
      <c r="O20" s="259"/>
    </row>
    <row r="21" spans="1:21" x14ac:dyDescent="0.2">
      <c r="D21" s="258"/>
      <c r="J21" s="187"/>
      <c r="K21" s="187"/>
      <c r="O21" s="259"/>
    </row>
    <row r="23" spans="1:21" x14ac:dyDescent="0.2">
      <c r="F23" s="187">
        <f>L11</f>
        <v>50</v>
      </c>
      <c r="G23" s="187"/>
      <c r="H23" s="187">
        <f>F11</f>
        <v>70</v>
      </c>
      <c r="I23" s="187"/>
      <c r="J23" s="187"/>
      <c r="K23" s="187"/>
      <c r="L23" s="187"/>
      <c r="M23" s="187"/>
    </row>
    <row r="24" spans="1:21" x14ac:dyDescent="0.2">
      <c r="I24" s="100"/>
      <c r="N24" s="134" t="s">
        <v>190</v>
      </c>
    </row>
    <row r="26" spans="1:21" x14ac:dyDescent="0.2">
      <c r="U26" s="97" t="s">
        <v>105</v>
      </c>
    </row>
    <row r="28" spans="1:21" x14ac:dyDescent="0.2">
      <c r="A28" s="186" t="s">
        <v>98</v>
      </c>
      <c r="B28" s="223"/>
      <c r="C28" s="135" t="s">
        <v>191</v>
      </c>
      <c r="D28" s="136"/>
    </row>
    <row r="29" spans="1:21" x14ac:dyDescent="0.2">
      <c r="H29" s="137"/>
    </row>
    <row r="30" spans="1:21" ht="15" x14ac:dyDescent="0.25">
      <c r="A30" s="98" t="s">
        <v>192</v>
      </c>
      <c r="H30" s="137"/>
    </row>
    <row r="31" spans="1:21" s="66" customFormat="1" ht="12" x14ac:dyDescent="0.2">
      <c r="G31" s="95"/>
      <c r="M31" s="106"/>
      <c r="N31" s="95"/>
    </row>
    <row r="32" spans="1:21" s="66" customFormat="1" ht="15.75" x14ac:dyDescent="0.3">
      <c r="B32" s="128" t="s">
        <v>99</v>
      </c>
      <c r="C32" s="217" t="s">
        <v>193</v>
      </c>
      <c r="D32" s="260"/>
      <c r="E32" s="217" t="s">
        <v>194</v>
      </c>
      <c r="F32" s="218"/>
      <c r="G32" s="217" t="s">
        <v>195</v>
      </c>
      <c r="H32" s="218"/>
      <c r="I32" s="217" t="s">
        <v>196</v>
      </c>
      <c r="J32" s="261"/>
      <c r="K32" s="218"/>
      <c r="L32" s="261" t="s">
        <v>197</v>
      </c>
      <c r="M32" s="262"/>
      <c r="N32" s="260"/>
      <c r="O32" s="74"/>
      <c r="P32" s="74"/>
    </row>
    <row r="33" spans="1:22" ht="14.25" x14ac:dyDescent="0.2">
      <c r="B33" s="138"/>
      <c r="C33" s="219" t="s">
        <v>198</v>
      </c>
      <c r="D33" s="220"/>
      <c r="E33" s="219" t="s">
        <v>161</v>
      </c>
      <c r="F33" s="220"/>
      <c r="G33" s="219" t="s">
        <v>161</v>
      </c>
      <c r="H33" s="220"/>
      <c r="I33" s="139"/>
      <c r="J33" s="81" t="s">
        <v>199</v>
      </c>
      <c r="K33" s="140"/>
      <c r="L33" s="138"/>
      <c r="M33" s="81" t="s">
        <v>199</v>
      </c>
      <c r="N33" s="141"/>
      <c r="O33" s="142"/>
      <c r="P33" s="143"/>
    </row>
    <row r="34" spans="1:22" ht="15.95" customHeight="1" x14ac:dyDescent="0.2">
      <c r="B34" s="144">
        <v>1</v>
      </c>
      <c r="C34" s="255">
        <f>H23*O19</f>
        <v>1050</v>
      </c>
      <c r="D34" s="256"/>
      <c r="E34" s="206">
        <f>H23/2</f>
        <v>35</v>
      </c>
      <c r="F34" s="223"/>
      <c r="G34" s="255">
        <f>O13+O19/2</f>
        <v>72.5</v>
      </c>
      <c r="H34" s="256"/>
      <c r="I34" s="206">
        <f>C34*E34</f>
        <v>36750</v>
      </c>
      <c r="J34" s="206"/>
      <c r="K34" s="206"/>
      <c r="L34" s="255">
        <f>C34*G34</f>
        <v>76125</v>
      </c>
      <c r="M34" s="257"/>
      <c r="N34" s="256"/>
    </row>
    <row r="35" spans="1:22" ht="15.95" customHeight="1" x14ac:dyDescent="0.2">
      <c r="B35" s="145">
        <v>2</v>
      </c>
      <c r="C35" s="249">
        <f>D15*(F11-F15)</f>
        <v>400</v>
      </c>
      <c r="D35" s="250"/>
      <c r="E35" s="251">
        <f>L11+(F11-F15)/2</f>
        <v>54</v>
      </c>
      <c r="F35" s="234"/>
      <c r="G35" s="249">
        <f>D13+D15/2</f>
        <v>40</v>
      </c>
      <c r="H35" s="250"/>
      <c r="I35" s="251">
        <f>C35*E35</f>
        <v>21600</v>
      </c>
      <c r="J35" s="251"/>
      <c r="K35" s="251"/>
      <c r="L35" s="249">
        <f>C35*G35</f>
        <v>16000</v>
      </c>
      <c r="M35" s="251"/>
      <c r="N35" s="250"/>
    </row>
    <row r="36" spans="1:22" ht="15.95" customHeight="1" x14ac:dyDescent="0.2">
      <c r="B36" s="145">
        <v>3</v>
      </c>
      <c r="C36" s="249">
        <f>L11*O13/2</f>
        <v>1625</v>
      </c>
      <c r="D36" s="250"/>
      <c r="E36" s="251">
        <f>L11/3*2</f>
        <v>33.333333333333336</v>
      </c>
      <c r="F36" s="234"/>
      <c r="G36" s="249">
        <f>O13/3*2</f>
        <v>43.333333333333336</v>
      </c>
      <c r="H36" s="250"/>
      <c r="I36" s="251">
        <f>C36*E36</f>
        <v>54166.666666666672</v>
      </c>
      <c r="J36" s="251"/>
      <c r="K36" s="251"/>
      <c r="L36" s="249">
        <f>C36*G36</f>
        <v>70416.666666666672</v>
      </c>
      <c r="M36" s="251"/>
      <c r="N36" s="250"/>
    </row>
    <row r="37" spans="1:22" ht="15.95" customHeight="1" x14ac:dyDescent="0.2">
      <c r="A37" s="74"/>
      <c r="B37" s="146">
        <v>4</v>
      </c>
      <c r="C37" s="252">
        <f>D13*F11</f>
        <v>1050</v>
      </c>
      <c r="D37" s="253"/>
      <c r="E37" s="254">
        <f>L11+F11/2</f>
        <v>85</v>
      </c>
      <c r="F37" s="235"/>
      <c r="G37" s="252">
        <f>D13/2</f>
        <v>7.5</v>
      </c>
      <c r="H37" s="253"/>
      <c r="I37" s="254">
        <f>C37*E37</f>
        <v>89250</v>
      </c>
      <c r="J37" s="254"/>
      <c r="K37" s="254"/>
      <c r="L37" s="252">
        <f>C37*G37</f>
        <v>7875</v>
      </c>
      <c r="M37" s="254"/>
      <c r="N37" s="253"/>
    </row>
    <row r="39" spans="1:22" ht="13.5" thickBot="1" x14ac:dyDescent="0.25">
      <c r="C39" s="245">
        <f>SUM(C34:D37)</f>
        <v>4125</v>
      </c>
      <c r="D39" s="246"/>
      <c r="I39" s="247">
        <f>SUM(I34:K37)</f>
        <v>201766.66666666669</v>
      </c>
      <c r="J39" s="248"/>
      <c r="K39" s="248"/>
      <c r="L39" s="247">
        <f>SUM(L34:N37)</f>
        <v>170416.66666666669</v>
      </c>
      <c r="M39" s="248"/>
      <c r="N39" s="248"/>
    </row>
    <row r="40" spans="1:22" ht="13.5" thickTop="1" x14ac:dyDescent="0.2"/>
    <row r="42" spans="1:22" ht="15.75" x14ac:dyDescent="0.3">
      <c r="B42" s="240" t="s">
        <v>200</v>
      </c>
      <c r="C42" s="241" t="s">
        <v>201</v>
      </c>
      <c r="D42" s="242"/>
      <c r="E42" s="243" t="s">
        <v>38</v>
      </c>
      <c r="F42" s="244">
        <f>ROUND(I39,1)</f>
        <v>201766.7</v>
      </c>
      <c r="G42" s="242"/>
      <c r="H42" s="242"/>
      <c r="I42" s="243" t="s">
        <v>38</v>
      </c>
      <c r="S42" s="237">
        <f>I39/C39</f>
        <v>48.913131313131316</v>
      </c>
      <c r="T42" s="238"/>
      <c r="U42" s="238"/>
      <c r="V42" s="64" t="s">
        <v>161</v>
      </c>
    </row>
    <row r="43" spans="1:22" ht="15.75" x14ac:dyDescent="0.3">
      <c r="B43" s="240"/>
      <c r="C43" s="239" t="s">
        <v>202</v>
      </c>
      <c r="D43" s="187"/>
      <c r="E43" s="240"/>
      <c r="F43" s="236">
        <f>ROUND(C39,1)</f>
        <v>4125</v>
      </c>
      <c r="G43" s="187"/>
      <c r="H43" s="187"/>
      <c r="I43" s="240"/>
      <c r="S43" s="147"/>
      <c r="T43" s="148"/>
      <c r="U43" s="148"/>
    </row>
    <row r="44" spans="1:22" x14ac:dyDescent="0.2">
      <c r="S44" s="148"/>
      <c r="T44" s="148"/>
      <c r="U44" s="148"/>
    </row>
    <row r="45" spans="1:22" ht="15.75" x14ac:dyDescent="0.3">
      <c r="B45" s="240" t="s">
        <v>203</v>
      </c>
      <c r="C45" s="241" t="s">
        <v>204</v>
      </c>
      <c r="D45" s="242"/>
      <c r="E45" s="243" t="s">
        <v>38</v>
      </c>
      <c r="F45" s="244">
        <f>ROUND(L39,1)</f>
        <v>170416.7</v>
      </c>
      <c r="G45" s="242"/>
      <c r="H45" s="242"/>
      <c r="I45" s="243" t="s">
        <v>38</v>
      </c>
      <c r="S45" s="237">
        <f>L39/C39</f>
        <v>41.313131313131315</v>
      </c>
      <c r="T45" s="238"/>
      <c r="U45" s="238"/>
      <c r="V45" s="64" t="s">
        <v>161</v>
      </c>
    </row>
    <row r="46" spans="1:22" ht="15.75" x14ac:dyDescent="0.3">
      <c r="B46" s="240"/>
      <c r="C46" s="239" t="s">
        <v>202</v>
      </c>
      <c r="D46" s="187"/>
      <c r="E46" s="240"/>
      <c r="F46" s="236">
        <f>ROUND(C39,1)</f>
        <v>4125</v>
      </c>
      <c r="G46" s="187"/>
      <c r="H46" s="187"/>
      <c r="I46" s="240"/>
    </row>
    <row r="48" spans="1:22" ht="13.5" x14ac:dyDescent="0.25">
      <c r="A48" s="92" t="s">
        <v>101</v>
      </c>
      <c r="L48" s="82"/>
    </row>
    <row r="49" spans="1:13" ht="13.5" x14ac:dyDescent="0.25">
      <c r="A49" s="92" t="s">
        <v>63</v>
      </c>
      <c r="L49" s="82"/>
    </row>
    <row r="50" spans="1:13" ht="13.5" x14ac:dyDescent="0.25">
      <c r="A50" s="92" t="s">
        <v>64</v>
      </c>
      <c r="B50" s="76"/>
      <c r="C50" s="76"/>
      <c r="M50" s="76"/>
    </row>
    <row r="51" spans="1:13" ht="13.5" x14ac:dyDescent="0.25">
      <c r="A51" s="92" t="s">
        <v>65</v>
      </c>
      <c r="D51" s="101"/>
      <c r="E51" s="101"/>
    </row>
    <row r="52" spans="1:13" ht="13.5" x14ac:dyDescent="0.25">
      <c r="A52" s="92"/>
    </row>
    <row r="53" spans="1:13" ht="13.5" x14ac:dyDescent="0.25">
      <c r="A53" s="92" t="s">
        <v>66</v>
      </c>
      <c r="I53" s="102"/>
      <c r="J53" s="102"/>
    </row>
    <row r="54" spans="1:13" ht="13.5" x14ac:dyDescent="0.25">
      <c r="A54" s="92" t="s">
        <v>67</v>
      </c>
    </row>
    <row r="55" spans="1:13" ht="13.5" x14ac:dyDescent="0.25">
      <c r="A55" s="92"/>
      <c r="H55" s="76"/>
      <c r="I55" s="76"/>
    </row>
    <row r="56" spans="1:13" ht="13.5" x14ac:dyDescent="0.25">
      <c r="A56" s="92" t="s">
        <v>102</v>
      </c>
    </row>
    <row r="57" spans="1:13" ht="16.5" x14ac:dyDescent="0.2">
      <c r="B57" s="82"/>
      <c r="C57" s="82"/>
      <c r="D57" s="82"/>
      <c r="E57" s="82"/>
      <c r="F57" s="82"/>
      <c r="G57" s="82"/>
      <c r="H57" s="82"/>
      <c r="I57" s="82"/>
      <c r="J57" s="103" t="s">
        <v>68</v>
      </c>
      <c r="K57" s="82"/>
      <c r="L57" s="82"/>
      <c r="M57" s="82"/>
    </row>
  </sheetData>
  <sheetProtection algorithmName="SHA-512" hashValue="U2+L2cJkOFJ3gyOpS3jMPGOLc9A8bkYUpx1RB+L0nijO+GiMk02V0C8tM2jqXWAzSdbR20gHoH286ysi5UU7Pw==" saltValue="7j8NOk4Jdj+a7uY2SiAdfg==" spinCount="100000" sheet="1" objects="1" scenarios="1" selectLockedCells="1"/>
  <mergeCells count="65">
    <mergeCell ref="A8:B8"/>
    <mergeCell ref="A9:B9"/>
    <mergeCell ref="F11:K11"/>
    <mergeCell ref="L11:M11"/>
    <mergeCell ref="D13:D14"/>
    <mergeCell ref="H13:I14"/>
    <mergeCell ref="A28:B28"/>
    <mergeCell ref="O13:O18"/>
    <mergeCell ref="D15:D18"/>
    <mergeCell ref="F15:J15"/>
    <mergeCell ref="J16:J17"/>
    <mergeCell ref="K16:K18"/>
    <mergeCell ref="L17:L18"/>
    <mergeCell ref="C33:D33"/>
    <mergeCell ref="E33:F33"/>
    <mergeCell ref="G33:H33"/>
    <mergeCell ref="D19:D21"/>
    <mergeCell ref="O19:O21"/>
    <mergeCell ref="J20:K21"/>
    <mergeCell ref="F23:G23"/>
    <mergeCell ref="H23:M23"/>
    <mergeCell ref="C32:D32"/>
    <mergeCell ref="E32:F32"/>
    <mergeCell ref="G32:H32"/>
    <mergeCell ref="I32:K32"/>
    <mergeCell ref="L32:N32"/>
    <mergeCell ref="C35:D35"/>
    <mergeCell ref="E35:F35"/>
    <mergeCell ref="G35:H35"/>
    <mergeCell ref="I35:K35"/>
    <mergeCell ref="L35:N35"/>
    <mergeCell ref="C34:D34"/>
    <mergeCell ref="E34:F34"/>
    <mergeCell ref="G34:H34"/>
    <mergeCell ref="I34:K34"/>
    <mergeCell ref="L34:N34"/>
    <mergeCell ref="C37:D37"/>
    <mergeCell ref="E37:F37"/>
    <mergeCell ref="G37:H37"/>
    <mergeCell ref="I37:K37"/>
    <mergeCell ref="L37:N37"/>
    <mergeCell ref="C36:D36"/>
    <mergeCell ref="E36:F36"/>
    <mergeCell ref="G36:H36"/>
    <mergeCell ref="I36:K36"/>
    <mergeCell ref="L36:N36"/>
    <mergeCell ref="C39:D39"/>
    <mergeCell ref="I39:K39"/>
    <mergeCell ref="L39:N39"/>
    <mergeCell ref="B42:B43"/>
    <mergeCell ref="C42:D42"/>
    <mergeCell ref="E42:E43"/>
    <mergeCell ref="F42:H42"/>
    <mergeCell ref="I42:I43"/>
    <mergeCell ref="F46:H46"/>
    <mergeCell ref="S42:U42"/>
    <mergeCell ref="C43:D43"/>
    <mergeCell ref="F43:H43"/>
    <mergeCell ref="B45:B46"/>
    <mergeCell ref="C45:D45"/>
    <mergeCell ref="E45:E46"/>
    <mergeCell ref="F45:H45"/>
    <mergeCell ref="I45:I46"/>
    <mergeCell ref="S45:U45"/>
    <mergeCell ref="C46:D46"/>
  </mergeCells>
  <hyperlinks>
    <hyperlink ref="J57" r:id="rId1" xr:uid="{D389675C-F828-437F-8E7D-3FB5CB95BC76}"/>
  </hyperlinks>
  <printOptions horizontalCentered="1"/>
  <pageMargins left="0.59055118110236227" right="0.59055118110236227" top="0.39370078740157483" bottom="0.78740157480314965" header="0.51181102362204722" footer="0.51181102362204722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08DA8-2103-401E-80D9-DA83E455B1B2}">
  <dimension ref="A1:AF110"/>
  <sheetViews>
    <sheetView showGridLines="0" view="pageBreakPreview" zoomScale="115" zoomScaleNormal="100" zoomScaleSheetLayoutView="115" workbookViewId="0">
      <selection activeCell="E10" sqref="E10:F10"/>
    </sheetView>
  </sheetViews>
  <sheetFormatPr baseColWidth="10" defaultColWidth="11.42578125" defaultRowHeight="15" x14ac:dyDescent="0.25"/>
  <cols>
    <col min="1" max="26" width="3.7109375" style="1" customWidth="1"/>
    <col min="27" max="16384" width="11.42578125" style="1"/>
  </cols>
  <sheetData>
    <row r="1" spans="1:25" ht="12.9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5" ht="12.9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4"/>
      <c r="L2" s="64"/>
      <c r="M2" s="64"/>
      <c r="N2" s="64"/>
      <c r="O2" s="64"/>
      <c r="P2" s="65" t="s">
        <v>93</v>
      </c>
      <c r="Q2" s="66" t="str">
        <f>INFOBOX!B2</f>
        <v>D E M O V E R S I O N</v>
      </c>
      <c r="R2" s="64"/>
      <c r="S2" s="64"/>
      <c r="T2" s="64"/>
      <c r="U2" s="64"/>
      <c r="V2" s="64"/>
      <c r="W2" s="64"/>
    </row>
    <row r="3" spans="1:25" ht="12.95" customHeight="1" x14ac:dyDescent="0.25">
      <c r="A3" s="63"/>
      <c r="B3" s="63"/>
      <c r="C3" s="64"/>
      <c r="D3" s="64" t="s">
        <v>94</v>
      </c>
      <c r="E3" s="63"/>
      <c r="F3" s="63"/>
      <c r="G3" s="63"/>
      <c r="H3" s="63"/>
      <c r="I3" s="63"/>
      <c r="J3" s="63"/>
      <c r="K3" s="64"/>
      <c r="L3" s="64"/>
      <c r="M3" s="64"/>
      <c r="N3" s="64"/>
      <c r="O3" s="64"/>
      <c r="P3" s="67"/>
      <c r="Q3" s="66" t="str">
        <f>INFOBOX!B3</f>
        <v>eingeschränkte Funktionalität</v>
      </c>
      <c r="R3" s="66"/>
      <c r="S3" s="66"/>
      <c r="T3" s="66"/>
      <c r="U3" s="66"/>
      <c r="V3" s="64"/>
      <c r="W3" s="64"/>
    </row>
    <row r="4" spans="1:25" ht="12.95" customHeight="1" x14ac:dyDescent="0.25">
      <c r="A4" s="68"/>
      <c r="B4" s="64"/>
      <c r="C4" s="64"/>
      <c r="D4" s="64" t="s">
        <v>95</v>
      </c>
      <c r="E4" s="64"/>
      <c r="F4" s="64"/>
      <c r="G4" s="64"/>
      <c r="H4" s="64"/>
      <c r="I4" s="64"/>
      <c r="J4" s="64"/>
      <c r="K4" s="69"/>
      <c r="L4" s="69"/>
      <c r="M4" s="69"/>
      <c r="N4" s="69"/>
      <c r="O4" s="69"/>
      <c r="P4" s="70"/>
      <c r="Q4" s="66" t="str">
        <f>INFOBOX!B4</f>
        <v>office@statikklasse.at</v>
      </c>
      <c r="R4" s="71"/>
      <c r="S4" s="66"/>
      <c r="T4" s="66"/>
      <c r="U4" s="66"/>
      <c r="V4" s="64"/>
      <c r="W4" s="64"/>
    </row>
    <row r="5" spans="1:25" x14ac:dyDescent="0.25">
      <c r="A5" s="151"/>
      <c r="B5" s="151"/>
      <c r="C5" s="151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0"/>
      <c r="Q5" s="150"/>
      <c r="R5" s="150"/>
      <c r="S5" s="150"/>
      <c r="T5" s="150"/>
      <c r="U5" s="152"/>
      <c r="V5" s="153"/>
      <c r="W5" s="154"/>
      <c r="X5" s="164">
        <f>INFOBOX!B8</f>
        <v>3</v>
      </c>
      <c r="Y5" s="164" t="s">
        <v>0</v>
      </c>
    </row>
    <row r="6" spans="1:25" x14ac:dyDescent="0.25">
      <c r="A6" s="3"/>
      <c r="B6" s="4"/>
      <c r="C6" s="4"/>
      <c r="D6" s="4"/>
      <c r="E6" s="287" t="s">
        <v>1</v>
      </c>
      <c r="F6" s="288"/>
      <c r="G6" s="287" t="s">
        <v>2</v>
      </c>
      <c r="H6" s="288"/>
      <c r="I6" s="287" t="s">
        <v>3</v>
      </c>
      <c r="J6" s="288"/>
      <c r="K6" s="4"/>
      <c r="L6" s="4"/>
      <c r="M6" s="4"/>
      <c r="N6" s="4"/>
      <c r="O6" s="4"/>
      <c r="P6" s="4"/>
      <c r="Q6" s="4"/>
      <c r="R6" s="5" t="s">
        <v>4</v>
      </c>
      <c r="S6" s="4"/>
      <c r="T6" s="4"/>
      <c r="U6" s="4"/>
      <c r="V6" s="4"/>
      <c r="W6" s="12"/>
      <c r="X6" s="6"/>
    </row>
    <row r="7" spans="1:25" x14ac:dyDescent="0.25">
      <c r="A7" s="3"/>
      <c r="B7" s="7"/>
      <c r="C7" s="8"/>
      <c r="D7" s="9" t="s">
        <v>5</v>
      </c>
      <c r="E7" s="282">
        <v>0</v>
      </c>
      <c r="F7" s="283"/>
      <c r="G7" s="282">
        <v>0</v>
      </c>
      <c r="H7" s="283"/>
      <c r="I7" s="282">
        <v>0</v>
      </c>
      <c r="J7" s="283"/>
      <c r="K7" s="4"/>
      <c r="L7" s="4"/>
      <c r="M7" s="4"/>
      <c r="N7" s="4"/>
      <c r="O7" s="4"/>
      <c r="P7" s="4"/>
      <c r="Q7" s="4"/>
      <c r="R7" s="4"/>
      <c r="S7" s="4"/>
      <c r="U7" s="4"/>
      <c r="V7" s="4"/>
      <c r="W7" s="10" t="s">
        <v>6</v>
      </c>
    </row>
    <row r="8" spans="1:25" x14ac:dyDescent="0.25">
      <c r="A8" s="3"/>
      <c r="B8" s="7"/>
      <c r="C8" s="8"/>
      <c r="D8" s="9" t="s">
        <v>7</v>
      </c>
      <c r="E8" s="282">
        <f>0.3/2+5.6+0.2</f>
        <v>5.95</v>
      </c>
      <c r="F8" s="283"/>
      <c r="G8" s="282">
        <v>0</v>
      </c>
      <c r="H8" s="283"/>
      <c r="I8" s="282">
        <v>0</v>
      </c>
      <c r="J8" s="283"/>
      <c r="K8" s="4"/>
      <c r="L8" s="4"/>
      <c r="M8" s="4"/>
      <c r="N8" s="4"/>
      <c r="O8" s="4"/>
      <c r="P8" s="4"/>
      <c r="Q8" s="4"/>
      <c r="R8" s="4"/>
      <c r="S8" s="4"/>
      <c r="U8" s="4"/>
      <c r="V8" s="4"/>
      <c r="W8" s="11" t="s">
        <v>8</v>
      </c>
    </row>
    <row r="9" spans="1:25" x14ac:dyDescent="0.25">
      <c r="A9" s="3"/>
      <c r="B9" s="7"/>
      <c r="C9" s="8"/>
      <c r="D9" s="9" t="s">
        <v>9</v>
      </c>
      <c r="E9" s="282">
        <f>0.2+6.5+0.15</f>
        <v>6.8500000000000005</v>
      </c>
      <c r="F9" s="283"/>
      <c r="G9" s="282">
        <f>7.37*1.35+4*1.5</f>
        <v>15.9495</v>
      </c>
      <c r="H9" s="283"/>
      <c r="I9" s="282">
        <v>0</v>
      </c>
      <c r="J9" s="283"/>
      <c r="K9" s="4"/>
      <c r="M9" s="4"/>
      <c r="N9" s="4"/>
      <c r="O9" s="4"/>
      <c r="Q9" s="4"/>
      <c r="R9" s="4" t="s">
        <v>10</v>
      </c>
      <c r="T9" s="4" t="s">
        <v>11</v>
      </c>
      <c r="U9" s="4"/>
      <c r="V9" s="4" t="s">
        <v>12</v>
      </c>
      <c r="W9" s="12"/>
    </row>
    <row r="10" spans="1:25" x14ac:dyDescent="0.25">
      <c r="A10" s="3"/>
      <c r="B10" s="7"/>
      <c r="C10" s="8"/>
      <c r="D10" s="9" t="s">
        <v>13</v>
      </c>
      <c r="E10" s="282">
        <v>0</v>
      </c>
      <c r="F10" s="283"/>
      <c r="G10" s="282">
        <v>0</v>
      </c>
      <c r="H10" s="283"/>
      <c r="I10" s="282">
        <v>0</v>
      </c>
      <c r="J10" s="283"/>
      <c r="L10" s="5"/>
      <c r="O10" s="5"/>
      <c r="P10" s="5"/>
      <c r="Q10" s="13" t="str">
        <f>E7&amp;"m"</f>
        <v>0m</v>
      </c>
      <c r="R10" s="284" t="str">
        <f>E8&amp;"m"</f>
        <v>5,95m</v>
      </c>
      <c r="S10" s="285"/>
      <c r="T10" s="284" t="str">
        <f>E9&amp;"m"</f>
        <v>6,85m</v>
      </c>
      <c r="U10" s="286"/>
      <c r="V10" s="14" t="str">
        <f>E10&amp;"m"</f>
        <v>0m</v>
      </c>
      <c r="W10" s="12"/>
    </row>
    <row r="11" spans="1:25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15" t="s">
        <v>14</v>
      </c>
      <c r="R11" s="279" t="s">
        <v>7</v>
      </c>
      <c r="S11" s="280"/>
      <c r="T11" s="279" t="s">
        <v>9</v>
      </c>
      <c r="U11" s="281"/>
      <c r="V11" s="16" t="s">
        <v>15</v>
      </c>
      <c r="W11" s="12"/>
    </row>
    <row r="12" spans="1:25" ht="15" customHeight="1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12"/>
    </row>
    <row r="13" spans="1:25" s="2" customFormat="1" ht="12" customHeight="1" x14ac:dyDescent="0.25">
      <c r="A13" s="17">
        <v>1</v>
      </c>
      <c r="B13" s="18" t="s">
        <v>16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 t="str">
        <f>IF(X5=3,"","LIZENZ ABGELAUFEN - ERGEBNISSE VERFÄLSCHT!")</f>
        <v/>
      </c>
    </row>
    <row r="14" spans="1:25" s="2" customFormat="1" ht="12.95" customHeight="1" x14ac:dyDescent="0.25">
      <c r="A14" s="21"/>
      <c r="B14" s="22"/>
      <c r="W14" s="23"/>
    </row>
    <row r="15" spans="1:25" s="2" customFormat="1" ht="12.95" customHeight="1" x14ac:dyDescent="0.25">
      <c r="A15" s="21"/>
      <c r="B15" s="24" t="s">
        <v>5</v>
      </c>
      <c r="C15" s="24"/>
      <c r="D15" s="24"/>
      <c r="E15" s="24"/>
      <c r="F15" s="24"/>
      <c r="G15" s="24"/>
      <c r="H15" s="24"/>
      <c r="I15" s="24"/>
      <c r="J15" s="24" t="s">
        <v>13</v>
      </c>
      <c r="M15" s="24"/>
      <c r="Q15" s="24"/>
      <c r="W15" s="23"/>
    </row>
    <row r="16" spans="1:25" s="2" customFormat="1" ht="12.95" customHeight="1" x14ac:dyDescent="0.25">
      <c r="A16" s="21"/>
      <c r="C16" s="25" t="s">
        <v>17</v>
      </c>
      <c r="D16" s="24" t="str">
        <f>IF(X5=3,"gd + qd","")</f>
        <v>gd + qd</v>
      </c>
      <c r="E16" s="24"/>
      <c r="F16" s="24"/>
      <c r="G16" s="24"/>
      <c r="H16" s="24"/>
      <c r="I16" s="24"/>
      <c r="J16" s="25"/>
      <c r="K16" s="26" t="s">
        <v>18</v>
      </c>
      <c r="L16" s="24" t="str">
        <f>IF(X5=3,"gd + qd","")</f>
        <v>gd + qd</v>
      </c>
      <c r="M16" s="24"/>
      <c r="Q16" s="24"/>
      <c r="W16" s="23"/>
    </row>
    <row r="17" spans="1:32" s="2" customFormat="1" ht="12.95" customHeight="1" x14ac:dyDescent="0.25">
      <c r="A17" s="21"/>
      <c r="C17" s="25" t="s">
        <v>19</v>
      </c>
      <c r="D17" s="24" t="str">
        <f>IF(X5=3,G7&amp;" + "&amp;I7,"")</f>
        <v>0 + 0</v>
      </c>
      <c r="E17" s="24"/>
      <c r="F17" s="24"/>
      <c r="G17" s="24"/>
      <c r="H17" s="24"/>
      <c r="I17" s="24"/>
      <c r="J17" s="25"/>
      <c r="K17" s="25" t="s">
        <v>19</v>
      </c>
      <c r="L17" s="2" t="str">
        <f>IF(X5=3,G10&amp;" + "&amp;I10,"")</f>
        <v>0 + 0</v>
      </c>
      <c r="M17" s="24"/>
      <c r="Q17" s="24"/>
      <c r="W17" s="23"/>
      <c r="AB17" s="165" t="s">
        <v>20</v>
      </c>
      <c r="AC17" s="165" t="s">
        <v>21</v>
      </c>
      <c r="AD17" s="166" t="s">
        <v>20</v>
      </c>
      <c r="AE17" s="166" t="s">
        <v>22</v>
      </c>
      <c r="AF17" s="166"/>
    </row>
    <row r="18" spans="1:32" s="2" customFormat="1" ht="12.95" customHeight="1" x14ac:dyDescent="0.25">
      <c r="A18" s="21"/>
      <c r="C18" s="25" t="s">
        <v>19</v>
      </c>
      <c r="D18" s="275">
        <f>IF(X5=3,G7+I7,"")</f>
        <v>0</v>
      </c>
      <c r="E18" s="275"/>
      <c r="F18" s="275"/>
      <c r="G18" s="2" t="s">
        <v>23</v>
      </c>
      <c r="H18" s="24"/>
      <c r="I18" s="24"/>
      <c r="J18" s="25"/>
      <c r="K18" s="25" t="s">
        <v>19</v>
      </c>
      <c r="L18" s="275">
        <f>IF(X5=3,G10+I10,"")</f>
        <v>0</v>
      </c>
      <c r="M18" s="275"/>
      <c r="N18" s="275"/>
      <c r="O18" s="2" t="s">
        <v>23</v>
      </c>
      <c r="Q18" s="24"/>
      <c r="W18" s="23"/>
      <c r="AB18" s="166">
        <v>0</v>
      </c>
      <c r="AC18" s="166">
        <f>0</f>
        <v>0</v>
      </c>
      <c r="AD18" s="166">
        <v>0</v>
      </c>
      <c r="AE18" s="167">
        <f>-(G$7+I$7)*AD18^2/2</f>
        <v>0</v>
      </c>
      <c r="AF18" s="166"/>
    </row>
    <row r="19" spans="1:32" s="2" customFormat="1" ht="12.95" customHeight="1" x14ac:dyDescent="0.25">
      <c r="A19" s="21"/>
      <c r="B19" s="24"/>
      <c r="G19" s="24"/>
      <c r="H19" s="24"/>
      <c r="I19" s="24"/>
      <c r="J19" s="25"/>
      <c r="K19" s="24"/>
      <c r="M19" s="24"/>
      <c r="Q19" s="24"/>
      <c r="W19" s="23"/>
      <c r="AB19" s="167">
        <f>E7</f>
        <v>0</v>
      </c>
      <c r="AC19" s="167">
        <f t="shared" ref="AC19:AC24" si="0">S54</f>
        <v>0</v>
      </c>
      <c r="AD19" s="166">
        <f>0.1*E$7</f>
        <v>0</v>
      </c>
      <c r="AE19" s="167">
        <f t="shared" ref="AE19:AE28" si="1">-(G$7+I$7)*AD19^2/2</f>
        <v>0</v>
      </c>
      <c r="AF19" s="166"/>
    </row>
    <row r="20" spans="1:32" s="2" customFormat="1" ht="12.95" customHeight="1" x14ac:dyDescent="0.25">
      <c r="A20" s="21"/>
      <c r="B20" s="24" t="s">
        <v>24</v>
      </c>
      <c r="C20" s="24"/>
      <c r="D20" s="24"/>
      <c r="E20" s="24"/>
      <c r="F20" s="24"/>
      <c r="G20" s="24"/>
      <c r="H20" s="24"/>
      <c r="I20" s="24"/>
      <c r="J20" s="24" t="s">
        <v>25</v>
      </c>
      <c r="L20" s="27"/>
      <c r="M20" s="24"/>
      <c r="Q20" s="24"/>
      <c r="W20" s="23"/>
      <c r="AB20" s="167">
        <f>AB19</f>
        <v>0</v>
      </c>
      <c r="AC20" s="167">
        <f>S55</f>
        <v>-8.4139875495461869</v>
      </c>
      <c r="AD20" s="166">
        <f>0.2*E$7</f>
        <v>0</v>
      </c>
      <c r="AE20" s="167">
        <f t="shared" si="1"/>
        <v>0</v>
      </c>
      <c r="AF20" s="166"/>
    </row>
    <row r="21" spans="1:32" s="2" customFormat="1" ht="12.95" customHeight="1" x14ac:dyDescent="0.25">
      <c r="A21" s="21"/>
      <c r="B21" s="24"/>
      <c r="C21" s="25" t="s">
        <v>26</v>
      </c>
      <c r="D21" s="24" t="str">
        <f>IF(X5=3,"gd + qd ","")</f>
        <v xml:space="preserve">gd + qd </v>
      </c>
      <c r="E21" s="24"/>
      <c r="F21" s="24"/>
      <c r="G21" s="24"/>
      <c r="H21" s="24"/>
      <c r="I21" s="24"/>
      <c r="J21" s="25"/>
      <c r="K21" s="25" t="s">
        <v>27</v>
      </c>
      <c r="L21" s="24" t="str">
        <f>IF(X5=3,"gd + qd","")</f>
        <v>gd + qd</v>
      </c>
      <c r="M21" s="24"/>
      <c r="Q21" s="24"/>
      <c r="R21" s="28"/>
      <c r="S21" s="28"/>
      <c r="T21" s="28"/>
      <c r="W21" s="23"/>
      <c r="AB21" s="167">
        <f>E7+E8</f>
        <v>5.95</v>
      </c>
      <c r="AC21" s="167">
        <f t="shared" si="0"/>
        <v>-8.4139875495461869</v>
      </c>
      <c r="AD21" s="166">
        <f>0.3*E$7</f>
        <v>0</v>
      </c>
      <c r="AE21" s="167">
        <f t="shared" si="1"/>
        <v>0</v>
      </c>
      <c r="AF21" s="166"/>
    </row>
    <row r="22" spans="1:32" s="2" customFormat="1" ht="12.95" customHeight="1" x14ac:dyDescent="0.25">
      <c r="A22" s="21"/>
      <c r="B22" s="24"/>
      <c r="C22" s="25" t="s">
        <v>19</v>
      </c>
      <c r="D22" s="2" t="str">
        <f>IF(X5=3,G8&amp;" + "&amp;I8,"")</f>
        <v>0 + 0</v>
      </c>
      <c r="H22" s="24"/>
      <c r="I22" s="24"/>
      <c r="J22" s="25"/>
      <c r="K22" s="25" t="s">
        <v>19</v>
      </c>
      <c r="L22" s="2" t="str">
        <f>IF(X5=3,G9&amp;" + "&amp;I9,"")</f>
        <v>15,9495 + 0</v>
      </c>
      <c r="M22" s="24"/>
      <c r="Q22" s="24"/>
      <c r="R22" s="28"/>
      <c r="S22" s="28"/>
      <c r="T22" s="28"/>
      <c r="W22" s="23"/>
      <c r="AB22" s="167">
        <f>AB21</f>
        <v>5.95</v>
      </c>
      <c r="AC22" s="167">
        <f t="shared" si="0"/>
        <v>61.935537634277352</v>
      </c>
      <c r="AD22" s="166">
        <f>0.4*E$7</f>
        <v>0</v>
      </c>
      <c r="AE22" s="167">
        <f t="shared" si="1"/>
        <v>0</v>
      </c>
      <c r="AF22" s="166"/>
    </row>
    <row r="23" spans="1:32" s="2" customFormat="1" ht="12.95" customHeight="1" x14ac:dyDescent="0.25">
      <c r="A23" s="21"/>
      <c r="B23" s="24"/>
      <c r="C23" s="25" t="s">
        <v>19</v>
      </c>
      <c r="D23" s="275">
        <f>IF(X5=3,G8+I8,"")</f>
        <v>0</v>
      </c>
      <c r="E23" s="275"/>
      <c r="F23" s="275"/>
      <c r="G23" s="2" t="s">
        <v>23</v>
      </c>
      <c r="H23" s="24"/>
      <c r="I23" s="24"/>
      <c r="J23" s="25"/>
      <c r="K23" s="25" t="s">
        <v>19</v>
      </c>
      <c r="L23" s="275">
        <f>IF(X5=3,G9+I9,"")</f>
        <v>15.9495</v>
      </c>
      <c r="M23" s="275"/>
      <c r="N23" s="275"/>
      <c r="O23" s="2" t="s">
        <v>23</v>
      </c>
      <c r="Q23" s="24"/>
      <c r="R23" s="28"/>
      <c r="S23" s="28"/>
      <c r="T23" s="28"/>
      <c r="W23" s="23"/>
      <c r="AB23" s="167">
        <f>E7+E8+E9</f>
        <v>12.8</v>
      </c>
      <c r="AC23" s="167">
        <f t="shared" si="0"/>
        <v>-47.318537365722662</v>
      </c>
      <c r="AD23" s="166">
        <f>0.5*E$7</f>
        <v>0</v>
      </c>
      <c r="AE23" s="167">
        <f t="shared" si="1"/>
        <v>0</v>
      </c>
      <c r="AF23" s="166"/>
    </row>
    <row r="24" spans="1:32" s="2" customFormat="1" ht="12.95" customHeight="1" x14ac:dyDescent="0.25">
      <c r="A24" s="21"/>
      <c r="D24" s="24"/>
      <c r="E24" s="24"/>
      <c r="F24" s="24"/>
      <c r="G24" s="24"/>
      <c r="H24" s="24"/>
      <c r="I24" s="24"/>
      <c r="M24" s="24"/>
      <c r="Q24" s="24"/>
      <c r="W24" s="23"/>
      <c r="AB24" s="167">
        <f>AB23</f>
        <v>12.8</v>
      </c>
      <c r="AC24" s="167">
        <f t="shared" si="0"/>
        <v>0</v>
      </c>
      <c r="AD24" s="166">
        <f>0.6*E$7</f>
        <v>0</v>
      </c>
      <c r="AE24" s="167">
        <f t="shared" si="1"/>
        <v>0</v>
      </c>
      <c r="AF24" s="166"/>
    </row>
    <row r="25" spans="1:32" s="2" customFormat="1" ht="12.95" customHeight="1" x14ac:dyDescent="0.25">
      <c r="A25" s="17">
        <v>2</v>
      </c>
      <c r="B25" s="18" t="s">
        <v>28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 t="str">
        <f>IF(X5=3,"","LIZENZ ABGELAUFEN - ERGEBNISSE VERFÄLSCHT!")</f>
        <v/>
      </c>
      <c r="AB25" s="167">
        <f>AB24+E10</f>
        <v>12.8</v>
      </c>
      <c r="AC25" s="166">
        <v>0</v>
      </c>
      <c r="AD25" s="166">
        <f>0.7*E$7</f>
        <v>0</v>
      </c>
      <c r="AE25" s="167">
        <f t="shared" si="1"/>
        <v>0</v>
      </c>
      <c r="AF25" s="166"/>
    </row>
    <row r="26" spans="1:32" s="2" customFormat="1" ht="12.95" customHeight="1" x14ac:dyDescent="0.25">
      <c r="A26" s="29"/>
      <c r="B26" s="24"/>
      <c r="C26" s="24"/>
      <c r="D26" s="24"/>
      <c r="E26" s="24"/>
      <c r="F26" s="24"/>
      <c r="G26" s="24"/>
      <c r="H26" s="24"/>
      <c r="I26" s="24"/>
      <c r="J26" s="25"/>
      <c r="K26" s="24"/>
      <c r="M26" s="24"/>
      <c r="Q26" s="24"/>
      <c r="W26" s="23"/>
      <c r="AB26" s="166">
        <v>0</v>
      </c>
      <c r="AC26" s="166">
        <v>0</v>
      </c>
      <c r="AD26" s="166">
        <f>0.8*E$7</f>
        <v>0</v>
      </c>
      <c r="AE26" s="167">
        <f t="shared" si="1"/>
        <v>0</v>
      </c>
      <c r="AF26" s="166"/>
    </row>
    <row r="27" spans="1:32" s="2" customFormat="1" ht="12.95" customHeight="1" x14ac:dyDescent="0.25">
      <c r="A27" s="29"/>
      <c r="B27" s="24" t="s">
        <v>29</v>
      </c>
      <c r="C27" s="24"/>
      <c r="D27" s="24"/>
      <c r="E27" s="24"/>
      <c r="F27" s="24"/>
      <c r="G27" s="24"/>
      <c r="H27" s="24"/>
      <c r="I27" s="24"/>
      <c r="J27" s="24" t="s">
        <v>30</v>
      </c>
      <c r="M27" s="24"/>
      <c r="Q27" s="24"/>
      <c r="W27" s="23"/>
      <c r="AB27" s="166"/>
      <c r="AC27" s="166"/>
      <c r="AD27" s="166">
        <f>0.9*E$7</f>
        <v>0</v>
      </c>
      <c r="AE27" s="167">
        <f t="shared" si="1"/>
        <v>0</v>
      </c>
      <c r="AF27" s="166"/>
    </row>
    <row r="28" spans="1:32" s="2" customFormat="1" ht="12.95" customHeight="1" x14ac:dyDescent="0.25">
      <c r="A28" s="29"/>
      <c r="B28" s="24"/>
      <c r="C28" s="25" t="s">
        <v>31</v>
      </c>
      <c r="D28" s="24" t="str">
        <f>IF(X5=3,"p_kragli * L^2 / 2","")</f>
        <v>p_kragli * L^2 / 2</v>
      </c>
      <c r="E28" s="24"/>
      <c r="F28" s="24"/>
      <c r="G28" s="24"/>
      <c r="H28" s="24"/>
      <c r="I28" s="24"/>
      <c r="J28" s="25"/>
      <c r="K28" s="25" t="s">
        <v>32</v>
      </c>
      <c r="L28" s="24" t="str">
        <f>IF(X5=3,"p_kragre * L^2 / 2","")</f>
        <v>p_kragre * L^2 / 2</v>
      </c>
      <c r="M28" s="24"/>
      <c r="Q28" s="24"/>
      <c r="W28" s="23"/>
      <c r="AB28" s="166"/>
      <c r="AC28" s="166"/>
      <c r="AD28" s="167">
        <f>E$7</f>
        <v>0</v>
      </c>
      <c r="AE28" s="167">
        <f t="shared" si="1"/>
        <v>0</v>
      </c>
      <c r="AF28" s="166"/>
    </row>
    <row r="29" spans="1:32" s="2" customFormat="1" ht="12.95" customHeight="1" x14ac:dyDescent="0.25">
      <c r="A29" s="29"/>
      <c r="B29" s="24"/>
      <c r="C29" s="25" t="s">
        <v>19</v>
      </c>
      <c r="D29" s="24" t="str">
        <f>IF(X5=3,"-("&amp;G7&amp;" + "&amp;I7&amp;") * "&amp;E7&amp;"^2 / 2","")</f>
        <v>-(0 + 0) * 0^2 / 2</v>
      </c>
      <c r="E29" s="24"/>
      <c r="F29" s="24"/>
      <c r="G29" s="24"/>
      <c r="H29" s="24"/>
      <c r="I29" s="24"/>
      <c r="J29" s="25"/>
      <c r="K29" s="25" t="s">
        <v>19</v>
      </c>
      <c r="L29" s="2" t="str">
        <f>IF(X5=3,"-("&amp;G10&amp;" + "&amp;I10&amp;") * "&amp;E10&amp;"^2 / 2","")</f>
        <v>-(0 + 0) * 0^2 / 2</v>
      </c>
      <c r="M29" s="24"/>
      <c r="Q29" s="24"/>
      <c r="W29" s="23"/>
      <c r="AB29" s="166"/>
      <c r="AC29" s="166">
        <v>0</v>
      </c>
      <c r="AD29" s="167">
        <f>AD$28+AC29</f>
        <v>0</v>
      </c>
      <c r="AE29" s="167">
        <f>(ABS(S$54)+S$55)*AC29-D$18*E$7*(E$7/2+AC29)-D$23*AC29^2/2</f>
        <v>0</v>
      </c>
      <c r="AF29" s="166"/>
    </row>
    <row r="30" spans="1:32" s="2" customFormat="1" ht="12.95" customHeight="1" x14ac:dyDescent="0.25">
      <c r="A30" s="29"/>
      <c r="B30" s="24"/>
      <c r="C30" s="25" t="s">
        <v>19</v>
      </c>
      <c r="D30" s="275">
        <f>IF(X5=3,-(G7+I7)*E7^2/2,"")</f>
        <v>0</v>
      </c>
      <c r="E30" s="275"/>
      <c r="F30" s="275"/>
      <c r="G30" s="2" t="s">
        <v>33</v>
      </c>
      <c r="H30" s="24"/>
      <c r="I30" s="24"/>
      <c r="J30" s="25"/>
      <c r="K30" s="25" t="s">
        <v>19</v>
      </c>
      <c r="L30" s="275">
        <f>IF(X5=3,-(G10+I10)*E10^2/2,"")</f>
        <v>0</v>
      </c>
      <c r="M30" s="275"/>
      <c r="N30" s="275"/>
      <c r="O30" s="2" t="s">
        <v>33</v>
      </c>
      <c r="Q30" s="24"/>
      <c r="W30" s="23"/>
      <c r="AB30" s="166"/>
      <c r="AC30" s="166">
        <f>0.1*E8</f>
        <v>0.59500000000000008</v>
      </c>
      <c r="AD30" s="167">
        <f t="shared" ref="AD30:AD39" si="2">AD$28+AC30</f>
        <v>0.59500000000000008</v>
      </c>
      <c r="AE30" s="167">
        <f t="shared" ref="AE30:AE38" si="3">(ABS(S$54)+S$55)*AC30-D$18*E$7*(E$7/2+AC30)-D$23*AC30^2/2</f>
        <v>-5.0063225919799823</v>
      </c>
      <c r="AF30" s="166"/>
    </row>
    <row r="31" spans="1:32" s="2" customFormat="1" ht="12.95" customHeight="1" x14ac:dyDescent="0.25">
      <c r="A31" s="29"/>
      <c r="W31" s="23"/>
      <c r="AB31" s="166"/>
      <c r="AC31" s="166">
        <f>0.2*E$8</f>
        <v>1.1900000000000002</v>
      </c>
      <c r="AD31" s="167">
        <f t="shared" si="2"/>
        <v>1.1900000000000002</v>
      </c>
      <c r="AE31" s="167">
        <f t="shared" si="3"/>
        <v>-10.012645183959965</v>
      </c>
      <c r="AF31" s="166"/>
    </row>
    <row r="32" spans="1:32" s="2" customFormat="1" ht="12.95" customHeight="1" x14ac:dyDescent="0.25">
      <c r="A32" s="17">
        <v>3</v>
      </c>
      <c r="B32" s="18" t="s">
        <v>34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 t="str">
        <f>IF(X5=3,"","LIZENZ ABGELAUFEN - ERGEBNISSE VERFÄLSCHT!")</f>
        <v/>
      </c>
      <c r="AB32" s="166"/>
      <c r="AC32" s="166">
        <f>0.3*E$8</f>
        <v>1.7849999999999999</v>
      </c>
      <c r="AD32" s="167">
        <f t="shared" si="2"/>
        <v>1.7849999999999999</v>
      </c>
      <c r="AE32" s="167">
        <f t="shared" si="3"/>
        <v>-15.018967775939943</v>
      </c>
      <c r="AF32" s="166"/>
    </row>
    <row r="33" spans="1:32" s="2" customFormat="1" ht="12.95" customHeight="1" x14ac:dyDescent="0.25">
      <c r="A33" s="31"/>
      <c r="B33" s="24"/>
      <c r="J33" s="26"/>
      <c r="W33" s="23"/>
      <c r="AB33" s="166"/>
      <c r="AC33" s="166">
        <f>0.4*E$8</f>
        <v>2.3800000000000003</v>
      </c>
      <c r="AD33" s="167">
        <f t="shared" si="2"/>
        <v>2.3800000000000003</v>
      </c>
      <c r="AE33" s="167">
        <f t="shared" si="3"/>
        <v>-20.025290367919929</v>
      </c>
      <c r="AF33" s="166"/>
    </row>
    <row r="34" spans="1:32" s="2" customFormat="1" ht="12.95" customHeight="1" x14ac:dyDescent="0.25">
      <c r="A34" s="31"/>
      <c r="B34" s="2" t="s">
        <v>7</v>
      </c>
      <c r="J34" s="2" t="s">
        <v>9</v>
      </c>
      <c r="W34" s="23"/>
      <c r="AB34" s="166"/>
      <c r="AC34" s="166">
        <f>0.5*E$8</f>
        <v>2.9750000000000001</v>
      </c>
      <c r="AD34" s="167">
        <f t="shared" si="2"/>
        <v>2.9750000000000001</v>
      </c>
      <c r="AE34" s="167">
        <f t="shared" si="3"/>
        <v>-25.031612959899906</v>
      </c>
      <c r="AF34" s="166"/>
    </row>
    <row r="35" spans="1:32" s="2" customFormat="1" ht="12.95" customHeight="1" x14ac:dyDescent="0.25">
      <c r="A35" s="31"/>
      <c r="C35" s="26" t="s">
        <v>35</v>
      </c>
      <c r="D35" s="2" t="str">
        <f>IF(X5=3,"P1 * L1^2 / 4","")</f>
        <v>P1 * L1^2 / 4</v>
      </c>
      <c r="K35" s="26" t="s">
        <v>36</v>
      </c>
      <c r="L35" s="2" t="str">
        <f>IF(X5=3,"P2 * L2^2 / 4","")</f>
        <v>P2 * L2^2 / 4</v>
      </c>
      <c r="R35" s="28"/>
      <c r="W35" s="23"/>
      <c r="AB35" s="166"/>
      <c r="AC35" s="166">
        <f>0.6*E$8</f>
        <v>3.57</v>
      </c>
      <c r="AD35" s="167">
        <f t="shared" si="2"/>
        <v>3.57</v>
      </c>
      <c r="AE35" s="167">
        <f t="shared" si="3"/>
        <v>-30.037935551879887</v>
      </c>
      <c r="AF35" s="166"/>
    </row>
    <row r="36" spans="1:32" s="2" customFormat="1" ht="12.95" customHeight="1" x14ac:dyDescent="0.25">
      <c r="A36" s="31"/>
      <c r="C36" s="25" t="s">
        <v>19</v>
      </c>
      <c r="D36" s="2" t="str">
        <f>IF(X5=3,ROUND(D23,3)&amp;"kN/m * "&amp;E8&amp;"m ^2 / 4","")</f>
        <v>0kN/m * 5,95m ^2 / 4</v>
      </c>
      <c r="K36" s="25" t="s">
        <v>19</v>
      </c>
      <c r="L36" s="2" t="str">
        <f>IF(X5=3,ROUND(L23,3)&amp;"kN/m * "&amp;E9&amp;"m ^2 / 4","")</f>
        <v>15,95kN/m * 6,85m ^2 / 4</v>
      </c>
      <c r="R36" s="28"/>
      <c r="W36" s="23"/>
      <c r="AB36" s="166"/>
      <c r="AC36" s="166">
        <f>0.7*E$8</f>
        <v>4.165</v>
      </c>
      <c r="AD36" s="167">
        <f t="shared" si="2"/>
        <v>4.165</v>
      </c>
      <c r="AE36" s="167">
        <f t="shared" si="3"/>
        <v>-35.044258143859871</v>
      </c>
      <c r="AF36" s="166"/>
    </row>
    <row r="37" spans="1:32" s="2" customFormat="1" ht="12.95" customHeight="1" x14ac:dyDescent="0.25">
      <c r="A37" s="31"/>
      <c r="C37" s="25" t="s">
        <v>19</v>
      </c>
      <c r="D37" s="275">
        <f>IF(X5=3,IF(X5=3,D23*E8^2/4,D23*E8^2/4/X6),"")</f>
        <v>0</v>
      </c>
      <c r="E37" s="275"/>
      <c r="F37" s="275"/>
      <c r="K37" s="25" t="s">
        <v>19</v>
      </c>
      <c r="L37" s="275">
        <f>IF(X5=3,L23*E9^2/4,"")</f>
        <v>187.09760343750003</v>
      </c>
      <c r="M37" s="275"/>
      <c r="N37" s="275"/>
      <c r="R37" s="28"/>
      <c r="W37" s="23"/>
      <c r="AB37" s="166"/>
      <c r="AC37" s="166">
        <f>0.8*E$8</f>
        <v>4.7600000000000007</v>
      </c>
      <c r="AD37" s="167">
        <f t="shared" si="2"/>
        <v>4.7600000000000007</v>
      </c>
      <c r="AE37" s="167">
        <f t="shared" si="3"/>
        <v>-40.050580735839858</v>
      </c>
      <c r="AF37" s="166"/>
    </row>
    <row r="38" spans="1:32" s="2" customFormat="1" ht="12.95" customHeight="1" x14ac:dyDescent="0.25">
      <c r="A38" s="31"/>
      <c r="C38" s="26"/>
      <c r="D38" s="32"/>
      <c r="E38" s="32"/>
      <c r="F38" s="32"/>
      <c r="K38" s="26"/>
      <c r="L38" s="32"/>
      <c r="M38" s="32"/>
      <c r="N38" s="32"/>
      <c r="R38" s="28"/>
      <c r="W38" s="23"/>
      <c r="AB38" s="166"/>
      <c r="AC38" s="166">
        <f>0.9*E$8</f>
        <v>5.3550000000000004</v>
      </c>
      <c r="AD38" s="167">
        <f t="shared" si="2"/>
        <v>5.3550000000000004</v>
      </c>
      <c r="AE38" s="167">
        <f t="shared" si="3"/>
        <v>-45.056903327819832</v>
      </c>
      <c r="AF38" s="166"/>
    </row>
    <row r="39" spans="1:32" s="2" customFormat="1" ht="12.95" customHeight="1" x14ac:dyDescent="0.25">
      <c r="A39" s="17">
        <v>4</v>
      </c>
      <c r="B39" s="18" t="s">
        <v>37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 t="str">
        <f>IF(X5=3,"","LIZENZ ABGELAUFEN - ERGEBNISSE VERFÄLSCHT!")</f>
        <v/>
      </c>
      <c r="AB39" s="166"/>
      <c r="AC39" s="167">
        <f>E$8</f>
        <v>5.95</v>
      </c>
      <c r="AD39" s="167">
        <f t="shared" si="2"/>
        <v>5.95</v>
      </c>
      <c r="AE39" s="167">
        <f>(ABS(S$54)+S$55)*AC39-D$18*E$7*(E$7/2+AC39)-D$23*AC39^2/2</f>
        <v>-50.063225919799812</v>
      </c>
      <c r="AF39" s="166"/>
    </row>
    <row r="40" spans="1:32" s="2" customFormat="1" ht="12.95" customHeight="1" x14ac:dyDescent="0.25">
      <c r="A40" s="31"/>
      <c r="C40" s="26"/>
      <c r="D40" s="32"/>
      <c r="E40" s="32"/>
      <c r="F40" s="32"/>
      <c r="K40" s="26"/>
      <c r="L40" s="32"/>
      <c r="M40" s="32"/>
      <c r="N40" s="32"/>
      <c r="R40" s="28"/>
      <c r="W40" s="23"/>
      <c r="AB40" s="166"/>
      <c r="AC40" s="166">
        <v>0</v>
      </c>
      <c r="AD40" s="167">
        <f>AD$39+AC40</f>
        <v>5.95</v>
      </c>
      <c r="AE40" s="167">
        <f>(ABS(S$54)+S$55)*(E$8+AC40)-D$18*E$7*(E$7/2+E$8+AC40)-D$23*E$8*(E$8/2+AC40)-L$23*AC40^2/2+(ABS(S$56)+S$57)*AC40</f>
        <v>-50.063225919799812</v>
      </c>
      <c r="AF40" s="166"/>
    </row>
    <row r="41" spans="1:32" s="2" customFormat="1" ht="12.95" customHeight="1" x14ac:dyDescent="0.25">
      <c r="A41" s="31"/>
      <c r="F41" s="32"/>
      <c r="G41" s="26" t="str">
        <f>IF(X5=3,"M_a * L1 + 2 * M_b * (L1 + L2) + M_c * L2","")</f>
        <v>M_a * L1 + 2 * M_b * (L1 + L2) + M_c * L2</v>
      </c>
      <c r="H41" s="33" t="s">
        <v>38</v>
      </c>
      <c r="I41" s="34" t="str">
        <f>IF(X5=3,"- R_1 * L1 - L_2 * L2 + M_a * L1 + M_b * L2","")</f>
        <v>- R_1 * L1 - L_2 * L2 + M_a * L1 + M_b * L2</v>
      </c>
      <c r="L41" s="32"/>
      <c r="M41" s="32"/>
      <c r="N41" s="32"/>
      <c r="R41" s="28"/>
      <c r="W41" s="23"/>
      <c r="AB41" s="166"/>
      <c r="AC41" s="166">
        <f>0.1*E9</f>
        <v>0.68500000000000005</v>
      </c>
      <c r="AD41" s="167">
        <f t="shared" ref="AD41:AD50" si="4">AD$39+AC41</f>
        <v>6.6349999999999998</v>
      </c>
      <c r="AE41" s="167">
        <f t="shared" ref="AE41:AE49" si="5">(ABS(S$54)+S$55)*(E$8+AC41)-D$18*E$7*(E$7/2+E$8+AC41)-D$23*E$8*(E$8/2+AC41)-L$23*AC41^2/2+(ABS(S$56)+S$57)*AC41</f>
        <v>-11.379334709069823</v>
      </c>
      <c r="AF41" s="166"/>
    </row>
    <row r="42" spans="1:32" s="2" customFormat="1" ht="12.95" customHeight="1" x14ac:dyDescent="0.25">
      <c r="A42" s="31"/>
      <c r="C42" s="26"/>
      <c r="F42" s="32"/>
      <c r="G42" s="26" t="str">
        <f>IF(X5=3,"2 * M_b * ("&amp;E8&amp;"m + "&amp;E9&amp;"m)","")</f>
        <v>2 * M_b * (5,95m + 6,85m)</v>
      </c>
      <c r="H42" s="33" t="s">
        <v>38</v>
      </c>
      <c r="I42" s="35" t="str">
        <f>IF(X5=3,"-"&amp;ROUND(D37,3)&amp;" * "&amp;E8&amp;"m - "&amp;ROUND(L37,3)&amp;" * "&amp;E9&amp;"m + "&amp;ABS(ROUND(D30,3))&amp;"kNm * "&amp;E8&amp;"m + "&amp;ABS(ROUND(L30,3))&amp;"kNm * "&amp;E9&amp;"m","")</f>
        <v>-0 * 5,95m - 187,098 * 6,85m + 0kNm * 5,95m + 0kNm * 6,85m</v>
      </c>
      <c r="L42" s="32"/>
      <c r="M42" s="32"/>
      <c r="N42" s="32"/>
      <c r="R42" s="28"/>
      <c r="W42" s="23"/>
      <c r="AB42" s="166"/>
      <c r="AC42" s="166">
        <f>0.2*E$9</f>
        <v>1.37</v>
      </c>
      <c r="AD42" s="167">
        <f t="shared" si="4"/>
        <v>7.32</v>
      </c>
      <c r="AE42" s="167">
        <f t="shared" si="5"/>
        <v>19.820652364160168</v>
      </c>
      <c r="AF42" s="166"/>
    </row>
    <row r="43" spans="1:32" s="2" customFormat="1" ht="12.95" customHeight="1" x14ac:dyDescent="0.25">
      <c r="A43" s="31"/>
      <c r="C43" s="26"/>
      <c r="F43" s="32"/>
      <c r="G43" s="26" t="str">
        <f>IF(X5=3,2*ROUND(E8+E9,3)&amp;"m * M_b","")</f>
        <v>25,6m * M_b</v>
      </c>
      <c r="H43" s="33" t="s">
        <v>38</v>
      </c>
      <c r="I43" s="278">
        <f>IF(X5=3,ROUND(-D37*E8-L37*E9-D30*E8-L30*E9,3),"")</f>
        <v>-1281.6189999999999</v>
      </c>
      <c r="J43" s="278"/>
      <c r="K43" s="278"/>
      <c r="L43" s="278"/>
      <c r="W43" s="23"/>
      <c r="AB43" s="166"/>
      <c r="AC43" s="166">
        <f>0.3*E$9</f>
        <v>2.0550000000000002</v>
      </c>
      <c r="AD43" s="167">
        <f t="shared" si="4"/>
        <v>8.0050000000000008</v>
      </c>
      <c r="AE43" s="167">
        <f t="shared" si="5"/>
        <v>43.536735299890154</v>
      </c>
      <c r="AF43" s="166"/>
    </row>
    <row r="44" spans="1:32" s="2" customFormat="1" ht="12.95" customHeight="1" x14ac:dyDescent="0.25">
      <c r="A44" s="31"/>
      <c r="C44" s="26"/>
      <c r="F44" s="32"/>
      <c r="G44" s="2" t="str">
        <f>IF(X5=3,"M_b","")</f>
        <v>M_b</v>
      </c>
      <c r="H44" s="33" t="s">
        <v>38</v>
      </c>
      <c r="I44" s="275">
        <f>IF(X5=3,(-D37*E8-L37*E9-D30*E8-L30*E9)/(2*(E8+E9)),"")</f>
        <v>-50.063225919799812</v>
      </c>
      <c r="J44" s="275"/>
      <c r="K44" s="275"/>
      <c r="L44" s="32" t="s">
        <v>33</v>
      </c>
      <c r="W44" s="23"/>
      <c r="AB44" s="166"/>
      <c r="AC44" s="166">
        <f>0.4*E$9</f>
        <v>2.74</v>
      </c>
      <c r="AD44" s="167">
        <f t="shared" si="4"/>
        <v>8.6900000000000013</v>
      </c>
      <c r="AE44" s="167">
        <f t="shared" si="5"/>
        <v>59.768914098120149</v>
      </c>
      <c r="AF44" s="166"/>
    </row>
    <row r="45" spans="1:32" s="2" customFormat="1" ht="12.95" customHeight="1" x14ac:dyDescent="0.25">
      <c r="A45" s="31"/>
      <c r="J45" s="26"/>
      <c r="R45" s="28"/>
      <c r="S45" s="28"/>
      <c r="T45" s="28"/>
      <c r="W45" s="23"/>
      <c r="AA45" s="28"/>
      <c r="AB45" s="166"/>
      <c r="AC45" s="166">
        <f>0.5*E$9</f>
        <v>3.4250000000000003</v>
      </c>
      <c r="AD45" s="167">
        <f t="shared" si="4"/>
        <v>9.375</v>
      </c>
      <c r="AE45" s="167">
        <f t="shared" si="5"/>
        <v>68.517188758850153</v>
      </c>
      <c r="AF45" s="166"/>
    </row>
    <row r="46" spans="1:32" s="2" customFormat="1" ht="12.95" customHeight="1" x14ac:dyDescent="0.25">
      <c r="A46" s="17">
        <v>5</v>
      </c>
      <c r="B46" s="18" t="s">
        <v>210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 t="str">
        <f>IF(X5=3,"","LIZENZ ABGELAUFEN - ERGEBNISSE VERFÄLSCHT!")</f>
        <v/>
      </c>
      <c r="AB46" s="166"/>
      <c r="AC46" s="166">
        <f>0.6*E$9</f>
        <v>4.1100000000000003</v>
      </c>
      <c r="AD46" s="167">
        <f t="shared" si="4"/>
        <v>10.06</v>
      </c>
      <c r="AE46" s="167">
        <f t="shared" si="5"/>
        <v>69.78155928208011</v>
      </c>
      <c r="AF46" s="166"/>
    </row>
    <row r="47" spans="1:32" s="2" customFormat="1" ht="12.95" customHeight="1" x14ac:dyDescent="0.25">
      <c r="A47" s="21"/>
      <c r="B47" s="22"/>
      <c r="W47" s="23"/>
      <c r="AB47" s="166"/>
      <c r="AC47" s="166">
        <f>0.7*E$9</f>
        <v>4.7949999999999999</v>
      </c>
      <c r="AD47" s="167">
        <f t="shared" si="4"/>
        <v>10.745000000000001</v>
      </c>
      <c r="AE47" s="167">
        <f t="shared" si="5"/>
        <v>63.562025667810133</v>
      </c>
      <c r="AF47" s="166"/>
    </row>
    <row r="48" spans="1:32" s="2" customFormat="1" ht="12.95" customHeight="1" x14ac:dyDescent="0.25">
      <c r="A48" s="31"/>
      <c r="B48" s="2" t="s">
        <v>40</v>
      </c>
      <c r="W48" s="23"/>
      <c r="AB48" s="166"/>
      <c r="AC48" s="166">
        <f>0.8*E$9</f>
        <v>5.48</v>
      </c>
      <c r="AD48" s="167">
        <f t="shared" si="4"/>
        <v>11.43</v>
      </c>
      <c r="AE48" s="167">
        <f t="shared" si="5"/>
        <v>49.858587916040051</v>
      </c>
      <c r="AF48" s="166"/>
    </row>
    <row r="49" spans="1:32" s="2" customFormat="1" ht="12.95" customHeight="1" x14ac:dyDescent="0.25">
      <c r="A49" s="31"/>
      <c r="C49" s="26" t="s">
        <v>31</v>
      </c>
      <c r="D49" s="277">
        <f>D30</f>
        <v>0</v>
      </c>
      <c r="E49" s="277"/>
      <c r="F49" s="277"/>
      <c r="G49" s="2" t="s">
        <v>33</v>
      </c>
      <c r="W49" s="23"/>
      <c r="AB49" s="166"/>
      <c r="AC49" s="166">
        <f>0.9*E$9</f>
        <v>6.1650000000000009</v>
      </c>
      <c r="AD49" s="167">
        <f t="shared" si="4"/>
        <v>12.115000000000002</v>
      </c>
      <c r="AE49" s="167">
        <f t="shared" si="5"/>
        <v>28.671246026770007</v>
      </c>
      <c r="AF49" s="166"/>
    </row>
    <row r="50" spans="1:32" s="2" customFormat="1" ht="12.95" customHeight="1" x14ac:dyDescent="0.25">
      <c r="A50" s="31"/>
      <c r="C50" s="26" t="s">
        <v>41</v>
      </c>
      <c r="D50" s="277">
        <f>I44</f>
        <v>-50.063225919799812</v>
      </c>
      <c r="E50" s="277"/>
      <c r="F50" s="277"/>
      <c r="G50" s="2" t="s">
        <v>33</v>
      </c>
      <c r="W50" s="23"/>
      <c r="AB50" s="166"/>
      <c r="AC50" s="167">
        <f>E$9</f>
        <v>6.8500000000000005</v>
      </c>
      <c r="AD50" s="167">
        <f t="shared" si="4"/>
        <v>12.8</v>
      </c>
      <c r="AE50" s="167">
        <f>(ABS(S$54)+S$55)*(E$8+AC50)-D$18*E$7*(E$7/2+E$8+AC50)-D$23*E$8*(E$8/2+AC50)-L$23*AC50^2/2+(ABS(S$56)+S$57)*AC50</f>
        <v>0</v>
      </c>
      <c r="AF50" s="166"/>
    </row>
    <row r="51" spans="1:32" s="2" customFormat="1" ht="12.95" customHeight="1" x14ac:dyDescent="0.25">
      <c r="A51" s="31"/>
      <c r="C51" s="26" t="s">
        <v>32</v>
      </c>
      <c r="D51" s="277">
        <f>L30</f>
        <v>0</v>
      </c>
      <c r="E51" s="277"/>
      <c r="F51" s="277"/>
      <c r="G51" s="2" t="s">
        <v>33</v>
      </c>
      <c r="J51" s="26"/>
      <c r="W51" s="23"/>
      <c r="AB51" s="168"/>
      <c r="AC51" s="166">
        <v>0</v>
      </c>
      <c r="AD51" s="167">
        <f>AD$50+AC51</f>
        <v>12.8</v>
      </c>
      <c r="AE51" s="167">
        <f>-L$18*(E$10-AC51)^2/2</f>
        <v>0</v>
      </c>
      <c r="AF51" s="166"/>
    </row>
    <row r="52" spans="1:32" s="2" customFormat="1" ht="12.95" customHeight="1" x14ac:dyDescent="0.25">
      <c r="A52" s="31"/>
      <c r="C52" s="26"/>
      <c r="D52" s="28"/>
      <c r="E52" s="28"/>
      <c r="F52" s="28"/>
      <c r="J52" s="26"/>
      <c r="W52" s="23"/>
      <c r="AB52" s="168"/>
      <c r="AC52" s="166">
        <f>0.1*E10</f>
        <v>0</v>
      </c>
      <c r="AD52" s="167">
        <f t="shared" ref="AD52:AD61" si="6">AD$50+AC52</f>
        <v>12.8</v>
      </c>
      <c r="AE52" s="167">
        <f t="shared" ref="AE52:AE61" si="7">-L$18*(E$10-AC52)^2/2</f>
        <v>0</v>
      </c>
      <c r="AF52" s="166"/>
    </row>
    <row r="53" spans="1:32" s="2" customFormat="1" ht="12.95" customHeight="1" x14ac:dyDescent="0.25">
      <c r="A53" s="31"/>
      <c r="B53" s="2" t="s">
        <v>42</v>
      </c>
      <c r="W53" s="23"/>
      <c r="AB53" s="168"/>
      <c r="AC53" s="166">
        <f>0.2*E$10</f>
        <v>0</v>
      </c>
      <c r="AD53" s="167">
        <f t="shared" si="6"/>
        <v>12.8</v>
      </c>
      <c r="AE53" s="167">
        <f t="shared" si="7"/>
        <v>0</v>
      </c>
      <c r="AF53" s="166"/>
    </row>
    <row r="54" spans="1:32" s="2" customFormat="1" ht="12.95" customHeight="1" x14ac:dyDescent="0.25">
      <c r="A54" s="31"/>
      <c r="C54" s="26" t="s">
        <v>43</v>
      </c>
      <c r="D54" s="2" t="str">
        <f>IF(X5=5,"","(-"&amp;G7&amp;"kN/m - "&amp;I7&amp;"kN/m) * "&amp;E7&amp;"m =")</f>
        <v>(-0kN/m - 0kN/m) * 0m =</v>
      </c>
      <c r="S54" s="277">
        <f>IF(X5=5,"",(-G7-I7)*E7)</f>
        <v>0</v>
      </c>
      <c r="T54" s="277"/>
      <c r="U54" s="277"/>
      <c r="V54" s="2" t="s">
        <v>44</v>
      </c>
      <c r="W54" s="23"/>
      <c r="AB54" s="168"/>
      <c r="AC54" s="166">
        <f>0.3*E$10</f>
        <v>0</v>
      </c>
      <c r="AD54" s="167">
        <f t="shared" si="6"/>
        <v>12.8</v>
      </c>
      <c r="AE54" s="167">
        <f t="shared" si="7"/>
        <v>0</v>
      </c>
      <c r="AF54" s="166"/>
    </row>
    <row r="55" spans="1:32" s="2" customFormat="1" ht="12.95" customHeight="1" x14ac:dyDescent="0.25">
      <c r="A55" s="31"/>
      <c r="C55" s="26" t="s">
        <v>45</v>
      </c>
      <c r="D55" s="2" t="str">
        <f>IF(X5=5,"",D23&amp;"kN/m * "&amp;E8&amp;"m / 2 + ("&amp;ROUND(D50,3)&amp;"kN/m - "&amp;ROUND(D49,3)&amp;"kN/m) / "&amp;E8&amp;"m =")</f>
        <v>0kN/m * 5,95m / 2 + (-50,063kN/m - 0kN/m) / 5,95m =</v>
      </c>
      <c r="S55" s="277">
        <f>IF(X5=5,"",D23*E8/2+(D50-D49)/E8)</f>
        <v>-8.4139875495461869</v>
      </c>
      <c r="T55" s="277"/>
      <c r="U55" s="277"/>
      <c r="V55" s="2" t="s">
        <v>44</v>
      </c>
      <c r="W55" s="23"/>
      <c r="AB55" s="168"/>
      <c r="AC55" s="166">
        <f>0.4*E$10</f>
        <v>0</v>
      </c>
      <c r="AD55" s="167">
        <f t="shared" si="6"/>
        <v>12.8</v>
      </c>
      <c r="AE55" s="167">
        <f t="shared" si="7"/>
        <v>0</v>
      </c>
      <c r="AF55" s="166"/>
    </row>
    <row r="56" spans="1:32" s="2" customFormat="1" ht="12.95" customHeight="1" x14ac:dyDescent="0.25">
      <c r="A56" s="31"/>
      <c r="C56" s="26" t="s">
        <v>46</v>
      </c>
      <c r="D56" s="2" t="str">
        <f>IF(X5=5,"","-"&amp;D23&amp;"kN/m * "&amp;E8&amp;"m / 2 + ("&amp;ROUND(D50,3)&amp;"kN/m - "&amp;ROUND(D49,3)&amp;"kN/m) / "&amp;E8&amp;"m =")</f>
        <v>-0kN/m * 5,95m / 2 + (-50,063kN/m - 0kN/m) / 5,95m =</v>
      </c>
      <c r="S56" s="277">
        <f>IF(X5=5,"",-D23*E8/2+(D50-D49)/E8)</f>
        <v>-8.4139875495461869</v>
      </c>
      <c r="T56" s="277"/>
      <c r="U56" s="277"/>
      <c r="V56" s="2" t="s">
        <v>44</v>
      </c>
      <c r="W56" s="23"/>
      <c r="AB56" s="168"/>
      <c r="AC56" s="166">
        <f>0.5*E$10</f>
        <v>0</v>
      </c>
      <c r="AD56" s="167">
        <f t="shared" si="6"/>
        <v>12.8</v>
      </c>
      <c r="AE56" s="167">
        <f t="shared" si="7"/>
        <v>0</v>
      </c>
      <c r="AF56" s="166"/>
    </row>
    <row r="57" spans="1:32" s="2" customFormat="1" ht="12.95" customHeight="1" x14ac:dyDescent="0.25">
      <c r="A57" s="31"/>
      <c r="C57" s="26" t="s">
        <v>47</v>
      </c>
      <c r="D57" s="2" t="str">
        <f>IF(X5=5,"",L23&amp;"kN/m * "&amp;E9&amp;"m / 2 + ("&amp;ROUND(D51,3)&amp;"kN/m - "&amp;ROUND(D50,3)&amp;"kN/m ) / "&amp;E9&amp;"m =")</f>
        <v>15,9495kN/m * 6,85m / 2 + (0kN/m - -50,063kN/m ) / 6,85m =</v>
      </c>
      <c r="S57" s="277">
        <f>IF(X5=5,"",L23*E9/2+(D51-D50)/E9)</f>
        <v>61.935537634277352</v>
      </c>
      <c r="T57" s="277"/>
      <c r="U57" s="277"/>
      <c r="V57" s="2" t="s">
        <v>44</v>
      </c>
      <c r="W57" s="23"/>
      <c r="AB57" s="168"/>
      <c r="AC57" s="166">
        <f>0.6*E$10</f>
        <v>0</v>
      </c>
      <c r="AD57" s="167">
        <f t="shared" si="6"/>
        <v>12.8</v>
      </c>
      <c r="AE57" s="167">
        <f t="shared" si="7"/>
        <v>0</v>
      </c>
      <c r="AF57" s="166"/>
    </row>
    <row r="58" spans="1:32" s="2" customFormat="1" ht="12.95" customHeight="1" x14ac:dyDescent="0.25">
      <c r="A58" s="31"/>
      <c r="C58" s="26" t="s">
        <v>48</v>
      </c>
      <c r="D58" s="2" t="str">
        <f>IF(X5=5,"","-"&amp;L23&amp;"kN/m * "&amp;E9&amp;"m / 2 + ("&amp;ROUND(D51,3)&amp;"kN/m - "&amp;ROUND(D50,3)&amp;"kN/m) / "&amp;E9&amp;"m =")</f>
        <v>-15,9495kN/m * 6,85m / 2 + (0kN/m - -50,063kN/m) / 6,85m =</v>
      </c>
      <c r="S58" s="277">
        <f>IF(X5=5,"",-L23*E9/2+(D51-D50)/E9)</f>
        <v>-47.318537365722662</v>
      </c>
      <c r="T58" s="277"/>
      <c r="U58" s="277"/>
      <c r="V58" s="2" t="s">
        <v>44</v>
      </c>
      <c r="W58" s="23"/>
      <c r="AB58" s="168"/>
      <c r="AC58" s="166">
        <f>0.7*E$10</f>
        <v>0</v>
      </c>
      <c r="AD58" s="167">
        <f t="shared" si="6"/>
        <v>12.8</v>
      </c>
      <c r="AE58" s="167">
        <f t="shared" si="7"/>
        <v>0</v>
      </c>
      <c r="AF58" s="166"/>
    </row>
    <row r="59" spans="1:32" s="2" customFormat="1" ht="12.95" customHeight="1" x14ac:dyDescent="0.25">
      <c r="A59" s="36"/>
      <c r="B59" s="30"/>
      <c r="C59" s="37" t="s">
        <v>49</v>
      </c>
      <c r="D59" s="30" t="str">
        <f>IF(X5=5,"","("&amp;G10&amp;"kN/m + "&amp;I10&amp;"kN/m) * "&amp;E10&amp;"m =")</f>
        <v>(0kN/m + 0kN/m) * 0m =</v>
      </c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8"/>
      <c r="S59" s="272">
        <f>IF(X5=5,"",(G10+I10)*E10)</f>
        <v>0</v>
      </c>
      <c r="T59" s="272"/>
      <c r="U59" s="272"/>
      <c r="V59" s="30" t="s">
        <v>44</v>
      </c>
      <c r="W59" s="39"/>
      <c r="AB59" s="168"/>
      <c r="AC59" s="166">
        <f>0.8*E$10</f>
        <v>0</v>
      </c>
      <c r="AD59" s="167">
        <f t="shared" si="6"/>
        <v>12.8</v>
      </c>
      <c r="AE59" s="167">
        <f t="shared" si="7"/>
        <v>0</v>
      </c>
      <c r="AF59" s="166"/>
    </row>
    <row r="60" spans="1:32" s="2" customFormat="1" ht="12.95" customHeight="1" x14ac:dyDescent="0.25">
      <c r="A60" s="31"/>
      <c r="C60" s="26"/>
      <c r="J60" s="26"/>
      <c r="R60" s="28"/>
      <c r="S60" s="28"/>
      <c r="T60" s="28"/>
      <c r="V60" s="273" t="s">
        <v>50</v>
      </c>
      <c r="W60" s="274"/>
      <c r="AB60" s="168"/>
      <c r="AC60" s="166">
        <f>0.9*E$10</f>
        <v>0</v>
      </c>
      <c r="AD60" s="167">
        <f t="shared" si="6"/>
        <v>12.8</v>
      </c>
      <c r="AE60" s="167">
        <f t="shared" si="7"/>
        <v>0</v>
      </c>
      <c r="AF60" s="166"/>
    </row>
    <row r="61" spans="1:32" s="2" customFormat="1" ht="12.95" customHeight="1" x14ac:dyDescent="0.25">
      <c r="A61" s="31"/>
      <c r="B61" s="2" t="s">
        <v>51</v>
      </c>
      <c r="J61" s="26"/>
      <c r="R61" s="28"/>
      <c r="S61" s="28"/>
      <c r="T61" s="28"/>
      <c r="AB61" s="168"/>
      <c r="AC61" s="167">
        <f>E$10</f>
        <v>0</v>
      </c>
      <c r="AD61" s="167">
        <f t="shared" si="6"/>
        <v>12.8</v>
      </c>
      <c r="AE61" s="167">
        <f t="shared" si="7"/>
        <v>0</v>
      </c>
      <c r="AF61" s="166"/>
    </row>
    <row r="62" spans="1:32" s="2" customFormat="1" ht="12.95" customHeight="1" x14ac:dyDescent="0.25">
      <c r="A62" s="31"/>
      <c r="C62" s="26" t="s">
        <v>52</v>
      </c>
      <c r="D62" s="2" t="str">
        <f>IF(X5=5,"","V_are^2 / (2 * p1) + M_a")</f>
        <v>V_are^2 / (2 * p1) + M_a</v>
      </c>
      <c r="J62" s="26"/>
      <c r="M62" s="26" t="s">
        <v>53</v>
      </c>
      <c r="N62" s="2" t="str">
        <f>IF(X5=5,"","V_bre^2 / (2 * p2) + M_b")</f>
        <v>V_bre^2 / (2 * p2) + M_b</v>
      </c>
      <c r="R62" s="28"/>
      <c r="S62" s="28"/>
      <c r="T62" s="28"/>
      <c r="W62" s="23"/>
      <c r="AB62" s="168"/>
      <c r="AC62" s="166"/>
      <c r="AD62" s="166">
        <v>0</v>
      </c>
      <c r="AE62" s="166">
        <v>0</v>
      </c>
      <c r="AF62" s="166"/>
    </row>
    <row r="63" spans="1:32" s="2" customFormat="1" ht="12.95" customHeight="1" x14ac:dyDescent="0.25">
      <c r="A63" s="31"/>
      <c r="C63" s="25" t="s">
        <v>19</v>
      </c>
      <c r="D63" s="2" t="str">
        <f>IF(X5=5,"",ROUND(S55,3)&amp;"kN ^2 / (2 * "&amp;ROUND(D23,3)&amp;"kN/m) + "&amp;ROUND(D49,3)&amp;"kNm")</f>
        <v>-8,414kN ^2 / (2 * 0kN/m) + 0kNm</v>
      </c>
      <c r="J63" s="26"/>
      <c r="M63" s="25" t="s">
        <v>19</v>
      </c>
      <c r="N63" s="2" t="str">
        <f>IF(X5=5,"",ROUND(S57,3)&amp;"kN/m ^2 / (2 * "&amp;ROUND(L23,3)&amp;"kN/m) + "&amp;ROUND(D50,3)&amp;"kNm")</f>
        <v>61,936kN/m ^2 / (2 * 15,95kN/m) + -50,063kNm</v>
      </c>
      <c r="R63" s="28"/>
      <c r="S63" s="28"/>
      <c r="T63" s="28"/>
      <c r="W63" s="23"/>
      <c r="AB63" s="168"/>
      <c r="AC63" s="166"/>
      <c r="AD63" s="167">
        <f>E7</f>
        <v>0</v>
      </c>
      <c r="AE63" s="166">
        <v>0</v>
      </c>
      <c r="AF63" s="166"/>
    </row>
    <row r="64" spans="1:32" s="2" customFormat="1" ht="12.95" customHeight="1" x14ac:dyDescent="0.25">
      <c r="A64" s="31"/>
      <c r="C64" s="25" t="s">
        <v>19</v>
      </c>
      <c r="D64" s="275" t="str">
        <f>IF(OR(X5=5,D23=0),"",S55^2/(2*D23)+D49)</f>
        <v/>
      </c>
      <c r="E64" s="275"/>
      <c r="F64" s="275"/>
      <c r="G64" s="2" t="s">
        <v>33</v>
      </c>
      <c r="J64" s="26"/>
      <c r="M64" s="25" t="s">
        <v>19</v>
      </c>
      <c r="N64" s="275">
        <f>IF(OR(X5=5,L23=0),"",S57^2/(2*L23)+D50)</f>
        <v>70.191666774234051</v>
      </c>
      <c r="O64" s="275"/>
      <c r="P64" s="275"/>
      <c r="Q64" s="2" t="s">
        <v>33</v>
      </c>
      <c r="R64" s="28"/>
      <c r="S64" s="28"/>
      <c r="T64" s="28"/>
      <c r="W64" s="23"/>
      <c r="AB64" s="168"/>
      <c r="AC64" s="166"/>
      <c r="AD64" s="167">
        <f>AD63</f>
        <v>0</v>
      </c>
      <c r="AE64" s="168">
        <f>D30</f>
        <v>0</v>
      </c>
      <c r="AF64" s="166"/>
    </row>
    <row r="65" spans="1:32" s="2" customFormat="1" ht="12.95" customHeight="1" x14ac:dyDescent="0.25">
      <c r="A65" s="31"/>
      <c r="C65" s="26"/>
      <c r="D65" s="40"/>
      <c r="E65" s="40"/>
      <c r="F65" s="40"/>
      <c r="J65" s="26"/>
      <c r="R65" s="28"/>
      <c r="S65" s="28"/>
      <c r="T65" s="28"/>
      <c r="W65" s="23"/>
      <c r="AB65" s="168"/>
      <c r="AC65" s="166"/>
      <c r="AD65" s="169">
        <f>AD64+D68</f>
        <v>0</v>
      </c>
      <c r="AE65" s="166">
        <v>0</v>
      </c>
      <c r="AF65" s="166"/>
    </row>
    <row r="66" spans="1:32" s="2" customFormat="1" ht="12.95" customHeight="1" x14ac:dyDescent="0.25">
      <c r="A66" s="31"/>
      <c r="C66" s="26" t="s">
        <v>54</v>
      </c>
      <c r="D66" s="41" t="s">
        <v>55</v>
      </c>
      <c r="E66" s="40"/>
      <c r="F66" s="40"/>
      <c r="J66" s="26"/>
      <c r="M66" s="26" t="s">
        <v>56</v>
      </c>
      <c r="N66" s="41" t="s">
        <v>57</v>
      </c>
      <c r="O66" s="40"/>
      <c r="P66" s="40"/>
      <c r="R66" s="28"/>
      <c r="S66" s="28"/>
      <c r="T66" s="28"/>
      <c r="W66" s="23"/>
      <c r="AB66" s="168"/>
      <c r="AC66" s="166"/>
      <c r="AD66" s="168">
        <f>AD65</f>
        <v>0</v>
      </c>
      <c r="AE66" s="167" t="str">
        <f>D64</f>
        <v/>
      </c>
      <c r="AF66" s="166"/>
    </row>
    <row r="67" spans="1:32" s="2" customFormat="1" ht="12.95" customHeight="1" x14ac:dyDescent="0.25">
      <c r="A67" s="31"/>
      <c r="C67" s="25" t="s">
        <v>19</v>
      </c>
      <c r="D67" s="40" t="str">
        <f>ROUND(S55,2)&amp;" / "&amp;ROUND(D23,2)</f>
        <v>-8,41 / 0</v>
      </c>
      <c r="E67" s="40"/>
      <c r="F67" s="40"/>
      <c r="J67" s="26"/>
      <c r="M67" s="25" t="s">
        <v>19</v>
      </c>
      <c r="N67" s="28" t="str">
        <f>ROUND(S57,2)&amp;" / "&amp;ROUND(L23,2)</f>
        <v>61,94 / 15,95</v>
      </c>
      <c r="O67" s="40"/>
      <c r="P67" s="40"/>
      <c r="R67" s="28"/>
      <c r="S67" s="28"/>
      <c r="T67" s="28"/>
      <c r="W67" s="23"/>
      <c r="AB67" s="168"/>
      <c r="AC67" s="166"/>
      <c r="AD67" s="167">
        <f>E7+E8</f>
        <v>5.95</v>
      </c>
      <c r="AE67" s="166">
        <v>0</v>
      </c>
      <c r="AF67" s="166"/>
    </row>
    <row r="68" spans="1:32" s="2" customFormat="1" ht="12.75" customHeight="1" x14ac:dyDescent="0.25">
      <c r="A68" s="31"/>
      <c r="C68" s="25" t="s">
        <v>19</v>
      </c>
      <c r="D68" s="275">
        <f>IF(D23=0,0,S55/D23)</f>
        <v>0</v>
      </c>
      <c r="E68" s="276"/>
      <c r="F68" s="276"/>
      <c r="G68" s="2" t="s">
        <v>58</v>
      </c>
      <c r="J68" s="26"/>
      <c r="M68" s="25" t="s">
        <v>19</v>
      </c>
      <c r="N68" s="275">
        <f>IF(L23=0,0,S57/L23)</f>
        <v>3.8832275390625006</v>
      </c>
      <c r="O68" s="276"/>
      <c r="P68" s="276"/>
      <c r="Q68" s="2" t="s">
        <v>58</v>
      </c>
      <c r="R68" s="28"/>
      <c r="S68" s="28"/>
      <c r="T68" s="28"/>
      <c r="W68" s="23"/>
      <c r="AB68" s="168"/>
      <c r="AC68" s="166"/>
      <c r="AD68" s="167">
        <f>AD67</f>
        <v>5.95</v>
      </c>
      <c r="AE68" s="167">
        <f>I44</f>
        <v>-50.063225919799812</v>
      </c>
      <c r="AF68" s="166"/>
    </row>
    <row r="69" spans="1:32" s="2" customFormat="1" ht="12.75" customHeight="1" x14ac:dyDescent="0.25">
      <c r="C69" s="26"/>
      <c r="D69" s="40"/>
      <c r="E69" s="40"/>
      <c r="F69" s="40"/>
      <c r="J69" s="26"/>
      <c r="N69" s="40"/>
      <c r="O69" s="40"/>
      <c r="P69" s="40"/>
      <c r="R69" s="28"/>
      <c r="S69" s="28"/>
      <c r="T69" s="28"/>
      <c r="AB69" s="168"/>
      <c r="AC69" s="166"/>
      <c r="AD69" s="168">
        <f>AD68+N68</f>
        <v>9.8332275390625004</v>
      </c>
      <c r="AE69" s="166">
        <v>0</v>
      </c>
      <c r="AF69" s="166"/>
    </row>
    <row r="70" spans="1:32" s="2" customFormat="1" ht="12.75" customHeight="1" x14ac:dyDescent="0.25">
      <c r="A70" s="17">
        <v>6</v>
      </c>
      <c r="B70" s="18" t="s">
        <v>39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 t="str">
        <f>IF(X5=3,"","LIZENZ ABGELAUFEN - ERGEBNISSE VERFÄLSCHT!")</f>
        <v/>
      </c>
      <c r="AB70" s="168"/>
      <c r="AC70" s="166"/>
      <c r="AD70" s="168">
        <f>AD69</f>
        <v>9.8332275390625004</v>
      </c>
      <c r="AE70" s="167">
        <f>N64</f>
        <v>70.191666774234051</v>
      </c>
      <c r="AF70" s="166"/>
    </row>
    <row r="71" spans="1:32" s="2" customFormat="1" ht="12.95" customHeight="1" x14ac:dyDescent="0.25">
      <c r="AB71" s="168"/>
      <c r="AC71" s="166"/>
      <c r="AD71" s="167">
        <f>E7+E8+E9</f>
        <v>12.8</v>
      </c>
      <c r="AE71" s="166">
        <v>0</v>
      </c>
      <c r="AF71" s="166"/>
    </row>
    <row r="72" spans="1:32" s="2" customFormat="1" ht="12.95" customHeight="1" x14ac:dyDescent="0.25">
      <c r="AB72" s="168"/>
      <c r="AC72" s="166"/>
      <c r="AD72" s="167">
        <f>AD71</f>
        <v>12.8</v>
      </c>
      <c r="AE72" s="167">
        <f>L30</f>
        <v>0</v>
      </c>
      <c r="AF72" s="166"/>
    </row>
    <row r="73" spans="1:32" s="2" customFormat="1" ht="12.95" customHeight="1" x14ac:dyDescent="0.25">
      <c r="AB73" s="28"/>
    </row>
    <row r="74" spans="1:32" s="2" customFormat="1" ht="12.95" customHeight="1" x14ac:dyDescent="0.25">
      <c r="P74" s="42"/>
      <c r="Q74" s="43" t="s">
        <v>59</v>
      </c>
      <c r="R74" s="43"/>
      <c r="S74" s="43"/>
      <c r="T74" s="43"/>
      <c r="U74" s="44"/>
      <c r="AB74" s="28"/>
    </row>
    <row r="75" spans="1:32" s="2" customFormat="1" ht="12.95" customHeight="1" x14ac:dyDescent="0.25">
      <c r="P75" s="36"/>
      <c r="Q75" s="37" t="s">
        <v>60</v>
      </c>
      <c r="R75" s="268">
        <f>MAX(MAX(AC18:AC24),ABS(MIN(AC18:AC24)))</f>
        <v>61.935537634277352</v>
      </c>
      <c r="S75" s="269"/>
      <c r="T75" s="30" t="s">
        <v>44</v>
      </c>
      <c r="U75" s="39"/>
      <c r="AB75" s="28"/>
    </row>
    <row r="76" spans="1:32" s="2" customFormat="1" ht="12.95" customHeight="1" x14ac:dyDescent="0.25">
      <c r="AB76" s="28"/>
    </row>
    <row r="77" spans="1:32" s="2" customFormat="1" ht="12.95" customHeight="1" x14ac:dyDescent="0.25">
      <c r="O77" s="45"/>
      <c r="P77" s="42"/>
      <c r="Q77" s="43" t="s">
        <v>61</v>
      </c>
      <c r="R77" s="43"/>
      <c r="S77" s="46"/>
      <c r="T77" s="43"/>
      <c r="U77" s="44"/>
      <c r="AB77" s="28"/>
    </row>
    <row r="78" spans="1:32" s="2" customFormat="1" ht="12.95" customHeight="1" x14ac:dyDescent="0.25">
      <c r="O78" s="1"/>
      <c r="P78" s="36"/>
      <c r="Q78" s="37" t="s">
        <v>62</v>
      </c>
      <c r="R78" s="268">
        <f>MAX(MAX(AE18:AE72),ABS(MIN(AE18:AE72)))</f>
        <v>70.191666774234051</v>
      </c>
      <c r="S78" s="269"/>
      <c r="T78" s="30" t="s">
        <v>33</v>
      </c>
      <c r="U78" s="39"/>
      <c r="AB78" s="28"/>
    </row>
    <row r="79" spans="1:32" s="2" customFormat="1" ht="12.95" customHeight="1" x14ac:dyDescent="0.25">
      <c r="AB79" s="28"/>
    </row>
    <row r="80" spans="1:32" s="2" customFormat="1" ht="12.95" customHeight="1" x14ac:dyDescent="0.25">
      <c r="O80" s="1"/>
    </row>
    <row r="81" spans="1:28" s="2" customFormat="1" ht="12.95" customHeight="1" x14ac:dyDescent="0.25">
      <c r="O81" s="1"/>
    </row>
    <row r="82" spans="1:28" s="2" customFormat="1" ht="12.95" customHeight="1" x14ac:dyDescent="0.25"/>
    <row r="83" spans="1:28" s="2" customFormat="1" ht="12.95" customHeight="1" x14ac:dyDescent="0.25">
      <c r="A83" s="31"/>
      <c r="C83" s="26"/>
      <c r="D83" s="40"/>
      <c r="E83" s="40"/>
      <c r="F83" s="40"/>
      <c r="J83" s="26"/>
      <c r="N83" s="40"/>
    </row>
    <row r="84" spans="1:28" s="2" customFormat="1" ht="12.95" customHeight="1" x14ac:dyDescent="0.25">
      <c r="O84" s="1"/>
    </row>
    <row r="85" spans="1:28" s="2" customFormat="1" ht="12.95" customHeight="1" x14ac:dyDescent="0.25">
      <c r="O85" s="1"/>
    </row>
    <row r="86" spans="1:28" s="2" customFormat="1" ht="12.95" customHeight="1" x14ac:dyDescent="0.25">
      <c r="O86" s="1"/>
    </row>
    <row r="87" spans="1:28" s="2" customFormat="1" ht="12.95" customHeight="1" x14ac:dyDescent="0.25">
      <c r="O87" s="1"/>
    </row>
    <row r="88" spans="1:28" s="2" customFormat="1" ht="12.95" customHeight="1" x14ac:dyDescent="0.25">
      <c r="O88" s="1"/>
    </row>
    <row r="89" spans="1:28" s="2" customFormat="1" ht="12.95" customHeight="1" x14ac:dyDescent="0.25">
      <c r="O89" s="1"/>
    </row>
    <row r="90" spans="1:28" s="2" customFormat="1" ht="12.95" customHeight="1" x14ac:dyDescent="0.25"/>
    <row r="91" spans="1:28" s="2" customFormat="1" ht="12.95" customHeight="1" x14ac:dyDescent="0.25"/>
    <row r="92" spans="1:28" s="2" customFormat="1" ht="12.95" customHeight="1" x14ac:dyDescent="0.25"/>
    <row r="93" spans="1:28" s="2" customFormat="1" ht="12.95" customHeight="1" x14ac:dyDescent="0.25"/>
    <row r="94" spans="1:28" s="2" customFormat="1" ht="12.95" customHeight="1" x14ac:dyDescent="0.25"/>
    <row r="95" spans="1:28" s="2" customFormat="1" ht="12.95" customHeight="1" x14ac:dyDescent="0.25"/>
    <row r="96" spans="1:28" s="2" customFormat="1" ht="12.95" customHeight="1" x14ac:dyDescent="0.25">
      <c r="A96" s="31"/>
      <c r="C96" s="26"/>
      <c r="D96" s="40"/>
      <c r="E96" s="40"/>
      <c r="F96" s="40"/>
      <c r="J96" s="26"/>
      <c r="N96" s="40"/>
      <c r="O96" s="40"/>
      <c r="P96" s="40"/>
      <c r="R96" s="28"/>
      <c r="S96" s="28"/>
      <c r="T96" s="28"/>
      <c r="W96" s="23"/>
      <c r="AB96" s="28"/>
    </row>
    <row r="97" spans="1:28" s="2" customFormat="1" ht="12.95" customHeight="1" x14ac:dyDescent="0.25">
      <c r="A97" s="31"/>
      <c r="C97" s="26"/>
      <c r="D97" s="40"/>
      <c r="E97" s="40"/>
      <c r="F97" s="40"/>
      <c r="J97" s="26"/>
      <c r="N97" s="40"/>
      <c r="O97" s="40"/>
      <c r="P97" s="40"/>
      <c r="R97" s="28"/>
      <c r="S97" s="28"/>
      <c r="T97" s="28"/>
      <c r="W97" s="23"/>
      <c r="AB97" s="28"/>
    </row>
    <row r="98" spans="1:28" s="2" customFormat="1" ht="12.95" customHeight="1" x14ac:dyDescent="0.25">
      <c r="A98" s="31"/>
      <c r="C98" s="26"/>
      <c r="D98" s="40"/>
      <c r="E98" s="40"/>
      <c r="F98" s="40"/>
      <c r="J98" s="26"/>
      <c r="N98" s="40"/>
      <c r="O98" s="40"/>
      <c r="P98" s="40"/>
      <c r="R98" s="28"/>
      <c r="S98" s="28"/>
      <c r="T98" s="28"/>
      <c r="W98" s="23"/>
      <c r="AB98" s="28"/>
    </row>
    <row r="99" spans="1:28" s="2" customFormat="1" ht="12.95" customHeight="1" x14ac:dyDescent="0.25">
      <c r="A99" s="2" t="s">
        <v>208</v>
      </c>
      <c r="C99" s="26"/>
      <c r="D99" s="40"/>
      <c r="E99" s="40"/>
      <c r="F99" s="40"/>
      <c r="J99" s="26"/>
      <c r="N99" s="40"/>
      <c r="O99" s="40"/>
      <c r="P99" s="40"/>
      <c r="R99" s="28"/>
      <c r="S99" s="28"/>
      <c r="T99" s="28"/>
      <c r="AB99" s="28"/>
    </row>
    <row r="100" spans="1:28" s="2" customFormat="1" ht="12.95" customHeight="1" x14ac:dyDescent="0.25">
      <c r="A100" s="2" t="s">
        <v>63</v>
      </c>
      <c r="C100" s="26"/>
      <c r="D100" s="40"/>
      <c r="E100" s="40"/>
      <c r="F100" s="40"/>
      <c r="J100" s="26"/>
      <c r="N100" s="40"/>
      <c r="O100" s="40"/>
      <c r="P100" s="40"/>
      <c r="R100" s="28"/>
      <c r="S100" s="28"/>
      <c r="T100" s="28"/>
      <c r="AB100" s="28"/>
    </row>
    <row r="101" spans="1:28" s="2" customFormat="1" ht="12.95" customHeight="1" x14ac:dyDescent="0.25">
      <c r="A101" s="2" t="s">
        <v>64</v>
      </c>
      <c r="C101" s="26"/>
      <c r="D101" s="40"/>
      <c r="E101" s="40"/>
      <c r="F101" s="40"/>
      <c r="J101" s="26"/>
      <c r="N101" s="40"/>
      <c r="O101" s="40"/>
      <c r="P101" s="40"/>
      <c r="R101" s="28"/>
      <c r="S101" s="28"/>
      <c r="T101" s="28"/>
      <c r="AB101" s="28"/>
    </row>
    <row r="102" spans="1:28" s="2" customFormat="1" ht="13.5" x14ac:dyDescent="0.25">
      <c r="A102" s="2" t="s">
        <v>65</v>
      </c>
      <c r="C102" s="26"/>
      <c r="D102" s="40"/>
      <c r="E102" s="40"/>
      <c r="F102" s="40"/>
      <c r="J102" s="26"/>
      <c r="N102" s="40"/>
      <c r="O102" s="40"/>
      <c r="P102" s="40"/>
      <c r="R102" s="28"/>
      <c r="S102" s="28"/>
      <c r="T102" s="28"/>
      <c r="AB102" s="28"/>
    </row>
    <row r="103" spans="1:28" s="2" customFormat="1" ht="12.95" customHeight="1" x14ac:dyDescent="0.25">
      <c r="C103" s="26"/>
      <c r="D103" s="40"/>
      <c r="E103" s="40"/>
      <c r="F103" s="40"/>
      <c r="J103" s="26"/>
      <c r="N103" s="40"/>
      <c r="O103" s="40"/>
      <c r="P103" s="40"/>
      <c r="R103" s="28"/>
      <c r="S103" s="28"/>
      <c r="T103" s="28"/>
      <c r="AB103" s="28"/>
    </row>
    <row r="104" spans="1:28" s="2" customFormat="1" ht="12.95" customHeight="1" x14ac:dyDescent="0.25">
      <c r="A104" s="2" t="s">
        <v>66</v>
      </c>
      <c r="C104" s="26"/>
      <c r="D104" s="40"/>
      <c r="E104" s="40"/>
      <c r="F104" s="40"/>
      <c r="J104" s="26"/>
      <c r="N104" s="40"/>
      <c r="O104" s="40"/>
      <c r="P104" s="40"/>
      <c r="R104" s="28"/>
      <c r="S104" s="28"/>
      <c r="T104" s="28"/>
      <c r="AB104" s="28"/>
    </row>
    <row r="105" spans="1:28" s="2" customFormat="1" ht="12.95" customHeight="1" x14ac:dyDescent="0.25">
      <c r="A105" s="2" t="s">
        <v>67</v>
      </c>
      <c r="C105" s="26"/>
      <c r="D105" s="40"/>
      <c r="E105" s="40"/>
      <c r="F105" s="40"/>
      <c r="J105" s="26"/>
      <c r="N105" s="40"/>
      <c r="O105" s="40"/>
      <c r="P105" s="40"/>
      <c r="R105" s="28"/>
      <c r="S105" s="28"/>
      <c r="T105" s="28"/>
    </row>
    <row r="106" spans="1:28" s="2" customFormat="1" ht="12.95" customHeight="1" x14ac:dyDescent="0.25">
      <c r="C106" s="26"/>
      <c r="D106" s="40"/>
      <c r="E106" s="40"/>
      <c r="F106" s="40"/>
      <c r="J106" s="26"/>
      <c r="N106" s="40"/>
      <c r="O106" s="40"/>
      <c r="P106" s="40"/>
      <c r="R106" s="28"/>
      <c r="S106" s="28"/>
      <c r="T106" s="28"/>
    </row>
    <row r="107" spans="1:28" s="2" customFormat="1" ht="12.95" customHeight="1" x14ac:dyDescent="0.25">
      <c r="A107" s="2" t="s">
        <v>209</v>
      </c>
      <c r="C107" s="26"/>
      <c r="D107" s="40"/>
      <c r="E107" s="40"/>
      <c r="F107" s="40"/>
      <c r="J107" s="26"/>
      <c r="N107" s="40"/>
      <c r="O107" s="40"/>
      <c r="P107" s="40"/>
      <c r="R107" s="28"/>
      <c r="S107" s="28"/>
      <c r="T107" s="28"/>
    </row>
    <row r="108" spans="1:28" s="2" customFormat="1" ht="12.95" customHeight="1" x14ac:dyDescent="0.25">
      <c r="A108" s="270" t="s">
        <v>68</v>
      </c>
      <c r="B108" s="271"/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1"/>
      <c r="N108" s="271"/>
      <c r="O108" s="271"/>
      <c r="P108" s="271"/>
      <c r="Q108" s="271"/>
      <c r="R108" s="271"/>
      <c r="S108" s="271"/>
      <c r="T108" s="271"/>
      <c r="U108" s="271"/>
      <c r="V108" s="271"/>
      <c r="W108" s="271"/>
    </row>
    <row r="109" spans="1:28" s="2" customFormat="1" ht="12.95" customHeight="1" x14ac:dyDescent="0.25">
      <c r="A109" s="271"/>
      <c r="B109" s="271"/>
      <c r="C109" s="271"/>
      <c r="D109" s="271"/>
      <c r="E109" s="271"/>
      <c r="F109" s="271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Q109" s="271"/>
      <c r="R109" s="271"/>
      <c r="S109" s="271"/>
      <c r="T109" s="271"/>
      <c r="U109" s="271"/>
      <c r="V109" s="271"/>
      <c r="W109" s="271"/>
    </row>
    <row r="110" spans="1:28" x14ac:dyDescent="0.25">
      <c r="A110" s="31"/>
      <c r="B110" s="2"/>
      <c r="C110" s="26"/>
      <c r="D110" s="40"/>
      <c r="E110" s="40"/>
      <c r="F110" s="40"/>
      <c r="G110" s="2"/>
      <c r="H110" s="2"/>
      <c r="I110" s="2"/>
      <c r="J110" s="26"/>
      <c r="K110" s="2"/>
      <c r="L110" s="2"/>
      <c r="M110" s="2"/>
      <c r="N110" s="40"/>
      <c r="O110" s="40"/>
      <c r="P110" s="40"/>
      <c r="Q110" s="2"/>
      <c r="R110" s="28"/>
      <c r="S110" s="28"/>
      <c r="T110" s="28"/>
      <c r="U110" s="2"/>
      <c r="V110" s="2"/>
      <c r="W110" s="23"/>
    </row>
  </sheetData>
  <sheetProtection algorithmName="SHA-512" hashValue="Rqe70JKMq21ny5iE4RVtrPTJSsy0E9RXXCG7ibbEogsaTWrAuHaJvbMPiK6qNMSJ9KP480XFIzitrPceAtoSFA==" saltValue="uZBRume3qa1ZE2SdlEertg==" spinCount="100000" sheet="1" objects="1" scenarios="1" selectLockedCells="1"/>
  <mergeCells count="46">
    <mergeCell ref="E6:F6"/>
    <mergeCell ref="G6:H6"/>
    <mergeCell ref="I6:J6"/>
    <mergeCell ref="E7:F7"/>
    <mergeCell ref="G7:H7"/>
    <mergeCell ref="I7:J7"/>
    <mergeCell ref="R11:S11"/>
    <mergeCell ref="T11:U11"/>
    <mergeCell ref="E8:F8"/>
    <mergeCell ref="G8:H8"/>
    <mergeCell ref="I8:J8"/>
    <mergeCell ref="E9:F9"/>
    <mergeCell ref="G9:H9"/>
    <mergeCell ref="I9:J9"/>
    <mergeCell ref="E10:F10"/>
    <mergeCell ref="G10:H10"/>
    <mergeCell ref="I10:J10"/>
    <mergeCell ref="R10:S10"/>
    <mergeCell ref="T10:U10"/>
    <mergeCell ref="D18:F18"/>
    <mergeCell ref="L18:N18"/>
    <mergeCell ref="D23:F23"/>
    <mergeCell ref="L23:N23"/>
    <mergeCell ref="D30:F30"/>
    <mergeCell ref="L30:N30"/>
    <mergeCell ref="S58:U58"/>
    <mergeCell ref="D37:F37"/>
    <mergeCell ref="L37:N37"/>
    <mergeCell ref="I43:L43"/>
    <mergeCell ref="I44:K44"/>
    <mergeCell ref="D49:F49"/>
    <mergeCell ref="D50:F50"/>
    <mergeCell ref="D51:F51"/>
    <mergeCell ref="S54:U54"/>
    <mergeCell ref="S55:U55"/>
    <mergeCell ref="S56:U56"/>
    <mergeCell ref="S57:U57"/>
    <mergeCell ref="R75:S75"/>
    <mergeCell ref="R78:S78"/>
    <mergeCell ref="A108:W109"/>
    <mergeCell ref="S59:U59"/>
    <mergeCell ref="V60:W60"/>
    <mergeCell ref="D64:F64"/>
    <mergeCell ref="N64:P64"/>
    <mergeCell ref="D68:F68"/>
    <mergeCell ref="N68:P68"/>
  </mergeCells>
  <hyperlinks>
    <hyperlink ref="A108" r:id="rId1" xr:uid="{509CC095-A723-4C8D-AAC4-CFA60C7E3762}"/>
  </hyperlinks>
  <printOptions horizontalCentered="1"/>
  <pageMargins left="0.70866141732283472" right="0.59055118110236227" top="0.59055118110236227" bottom="0.59055118110236227" header="0.11811023622047245" footer="0.11811023622047245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652C5-1AF3-4A81-8EB3-112E6684807C}">
  <dimension ref="A2:B8"/>
  <sheetViews>
    <sheetView showGridLines="0" workbookViewId="0">
      <selection activeCell="B8" sqref="B8"/>
    </sheetView>
  </sheetViews>
  <sheetFormatPr baseColWidth="10" defaultRowHeight="12.75" x14ac:dyDescent="0.2"/>
  <cols>
    <col min="1" max="16384" width="11.42578125" style="149"/>
  </cols>
  <sheetData>
    <row r="2" spans="1:2" x14ac:dyDescent="0.2">
      <c r="A2" s="149" t="s">
        <v>205</v>
      </c>
      <c r="B2" s="149" t="s">
        <v>217</v>
      </c>
    </row>
    <row r="3" spans="1:2" x14ac:dyDescent="0.2">
      <c r="B3" s="149" t="s">
        <v>219</v>
      </c>
    </row>
    <row r="4" spans="1:2" ht="15" x14ac:dyDescent="0.25">
      <c r="B4" s="163" t="s">
        <v>218</v>
      </c>
    </row>
    <row r="7" spans="1:2" x14ac:dyDescent="0.2">
      <c r="A7" s="149" t="s">
        <v>206</v>
      </c>
      <c r="B7" s="149" t="s">
        <v>207</v>
      </c>
    </row>
    <row r="8" spans="1:2" x14ac:dyDescent="0.2">
      <c r="B8" s="289">
        <v>3</v>
      </c>
    </row>
  </sheetData>
  <sheetProtection algorithmName="SHA-512" hashValue="1/gePMcoXJNaPpy7DUX2osNat86/ayw/7f+QN3kN6UNjgTcUm2bD/tn+4xm3bt7ueRPD1qdp78QX9CjXUOMc7A==" saltValue="HNDJUBl6o9kX0XzfUF+sow==" spinCount="100000" sheet="1" objects="1" scenarios="1" selectLockedCells="1" selectUnlockedCells="1"/>
  <hyperlinks>
    <hyperlink ref="B4" r:id="rId1" xr:uid="{87E2A5A8-80A2-4D39-A44F-A6E96E3663CA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PANORAMA</vt:lpstr>
      <vt:lpstr>Einfeldträger 01</vt:lpstr>
      <vt:lpstr>Lastaufstellung</vt:lpstr>
      <vt:lpstr>Schwerpunkt 01</vt:lpstr>
      <vt:lpstr>2FeldTräger</vt:lpstr>
      <vt:lpstr>INFOBOX</vt:lpstr>
      <vt:lpstr>'2FeldTräger'!Druckbereich</vt:lpstr>
      <vt:lpstr>'Einfeldträger 01'!Druckbereich</vt:lpstr>
      <vt:lpstr>Lastaufstellung!Druckbereich</vt:lpstr>
      <vt:lpstr>'Schwerpunkt 01'!Druckbereich</vt:lpstr>
      <vt:lpstr>'2FeldTräger'!Drucktitel</vt:lpstr>
      <vt:lpstr>'Einfeldträger 01'!Drucktitel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(c) STATIKKLASSE</dc:creator>
  <cp:lastModifiedBy>ee</cp:lastModifiedBy>
  <cp:lastPrinted>2021-05-15T20:33:52Z</cp:lastPrinted>
  <dcterms:created xsi:type="dcterms:W3CDTF">2021-05-13T20:06:09Z</dcterms:created>
  <dcterms:modified xsi:type="dcterms:W3CDTF">2021-12-28T15:47:04Z</dcterms:modified>
</cp:coreProperties>
</file>